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kt\shares\KTHOMES\00402297\Eigene Dokumente\CMI\6a9f90a432b64f8eba084153c565dc52\"/>
    </mc:Choice>
  </mc:AlternateContent>
  <workbookProtection workbookAlgorithmName="SHA-512" workbookHashValue="crocpvAodufLTQ7CJheMpAevIzYYYwOEXX6vyD4HlzHbSU2XiHTRDwIWyuzt2bBZULhnjrZMnP1HBfvuDtYDaA==" workbookSaltValue="/8fP5jQnHqmepDm28X61zg==" workbookSpinCount="100000" lockStructure="1"/>
  <bookViews>
    <workbookView xWindow="-120" yWindow="-120" windowWidth="29040" windowHeight="17520" activeTab="2"/>
  </bookViews>
  <sheets>
    <sheet name="Titelblatt" sheetId="8" r:id="rId1"/>
    <sheet name="Verkehrsrelevanz" sheetId="1" r:id="rId2"/>
    <sheet name="Grundlagen Verkehr" sheetId="6" r:id="rId3"/>
    <sheet name="Kennwerte Siedlungsdaten" sheetId="9" state="hidden" r:id="rId4"/>
  </sheets>
  <definedNames>
    <definedName name="_xlnm.Print_Area" localSheetId="2">'Grundlagen Verkehr'!$A$1:$R$80</definedName>
    <definedName name="_xlnm.Print_Area" localSheetId="1">Verkehrsrelevanz!$A$1:$H$68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2" i="6" l="1"/>
  <c r="K53" i="6"/>
  <c r="K54" i="6"/>
  <c r="K55" i="6"/>
  <c r="K56" i="6"/>
  <c r="K57" i="6"/>
  <c r="K58" i="6"/>
  <c r="K59" i="6"/>
  <c r="K60" i="6"/>
  <c r="K61" i="6"/>
  <c r="K62" i="6"/>
  <c r="K63" i="6"/>
  <c r="K64" i="6"/>
  <c r="K65" i="6"/>
  <c r="K66" i="6"/>
  <c r="K51" i="6"/>
  <c r="K42" i="6"/>
  <c r="K43" i="6"/>
  <c r="K44" i="6"/>
  <c r="K45" i="6"/>
  <c r="K46" i="6"/>
  <c r="K47" i="6"/>
  <c r="K48" i="6"/>
  <c r="K41" i="6"/>
  <c r="K34" i="6"/>
  <c r="K35" i="6"/>
  <c r="K36" i="6"/>
  <c r="K37" i="6"/>
  <c r="K38" i="6"/>
  <c r="K39" i="6"/>
  <c r="K33" i="6"/>
  <c r="K28" i="6"/>
  <c r="K29" i="6"/>
  <c r="K30" i="6"/>
  <c r="K31" i="6"/>
  <c r="K27" i="6"/>
  <c r="T41" i="6"/>
  <c r="M7" i="6"/>
  <c r="M8" i="6"/>
  <c r="M4" i="6"/>
  <c r="J14" i="6"/>
  <c r="M5" i="6" l="1"/>
  <c r="M9" i="6"/>
  <c r="M6" i="6"/>
  <c r="I11" i="6"/>
  <c r="I14" i="6"/>
  <c r="G15" i="1"/>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H14" i="6"/>
  <c r="K24" i="9"/>
  <c r="J24" i="9"/>
  <c r="I24" i="9"/>
  <c r="H24" i="9"/>
  <c r="G24" i="9"/>
  <c r="F24" i="9"/>
  <c r="E24" i="9"/>
  <c r="K23" i="9"/>
  <c r="J23" i="9"/>
  <c r="I23" i="9"/>
  <c r="H23" i="9"/>
  <c r="G23" i="9"/>
  <c r="F23" i="9"/>
  <c r="E23"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25" i="9"/>
  <c r="K22" i="9"/>
  <c r="E22" i="9"/>
  <c r="F22" i="9"/>
  <c r="G22" i="9"/>
  <c r="H22" i="9"/>
  <c r="I22" i="9"/>
  <c r="J22" i="9"/>
  <c r="D77" i="9"/>
  <c r="K17" i="6" l="1"/>
  <c r="K18" i="6"/>
  <c r="K20" i="6"/>
  <c r="J8" i="6"/>
  <c r="J4" i="6"/>
  <c r="J5" i="6"/>
  <c r="J6" i="6"/>
  <c r="J7" i="6"/>
  <c r="J9" i="6"/>
  <c r="K6" i="6"/>
  <c r="K9" i="6"/>
  <c r="K5" i="6"/>
  <c r="K7" i="6"/>
  <c r="K8" i="6"/>
  <c r="K4" i="6"/>
  <c r="K14" i="6"/>
  <c r="K24" i="6"/>
  <c r="K71" i="6"/>
  <c r="K23" i="6"/>
  <c r="K21" i="6"/>
  <c r="K69" i="6"/>
  <c r="T14" i="6"/>
  <c r="P34" i="1"/>
  <c r="O34" i="1"/>
  <c r="E34" i="1"/>
  <c r="E30" i="1"/>
  <c r="E33" i="1"/>
  <c r="E32" i="1"/>
  <c r="E31" i="1"/>
  <c r="L8" i="6" l="1"/>
  <c r="L9" i="6"/>
  <c r="L6" i="6"/>
  <c r="C277" i="6"/>
  <c r="L5" i="6"/>
  <c r="L7" i="6"/>
  <c r="L4" i="6"/>
  <c r="E277" i="6"/>
  <c r="F277" i="6"/>
  <c r="K11" i="6"/>
  <c r="J11" i="6"/>
  <c r="B277" i="6"/>
  <c r="D277" i="6"/>
  <c r="B278" i="6"/>
  <c r="C278" i="6"/>
  <c r="D278" i="6"/>
  <c r="E278" i="6"/>
  <c r="F278" i="6"/>
  <c r="Q34" i="1"/>
  <c r="R54" i="1"/>
  <c r="S54" i="1" s="1"/>
  <c r="Q54" i="1"/>
  <c r="P33" i="1"/>
  <c r="O33" i="1"/>
  <c r="P32" i="1"/>
  <c r="O32" i="1"/>
  <c r="P31" i="1"/>
  <c r="O31" i="1"/>
  <c r="O30" i="1"/>
  <c r="P30" i="1"/>
  <c r="Q314" i="6"/>
  <c r="P310" i="6"/>
  <c r="Q310" i="6" s="1"/>
  <c r="P308" i="6"/>
  <c r="Q308" i="6" s="1"/>
  <c r="L11" i="6" l="1"/>
  <c r="Q33" i="1"/>
  <c r="Q32" i="1"/>
  <c r="Q31" i="1"/>
  <c r="Q30" i="1"/>
  <c r="P311" i="6"/>
  <c r="Q311" i="6" s="1"/>
  <c r="Q35" i="1" l="1"/>
  <c r="A35" i="1" s="1"/>
  <c r="C290" i="6"/>
  <c r="C291" i="6"/>
  <c r="C296" i="6"/>
  <c r="M296" i="6" s="1"/>
  <c r="C298" i="6"/>
  <c r="M298" i="6" l="1"/>
  <c r="R11" i="1"/>
  <c r="S14" i="1" s="1"/>
  <c r="M291" i="6"/>
  <c r="M290" i="6"/>
  <c r="C292" i="6"/>
  <c r="M292" i="6" s="1"/>
  <c r="C297" i="6"/>
  <c r="U18" i="6"/>
  <c r="T18" i="6"/>
  <c r="O18" i="6" s="1"/>
  <c r="U17" i="6"/>
  <c r="T17" i="6"/>
  <c r="U21" i="6"/>
  <c r="T21" i="6"/>
  <c r="U20" i="6"/>
  <c r="T20" i="6"/>
  <c r="T24" i="6"/>
  <c r="U24" i="6"/>
  <c r="U23" i="6"/>
  <c r="T23" i="6"/>
  <c r="U71" i="6"/>
  <c r="V56" i="6"/>
  <c r="V54" i="6"/>
  <c r="V53" i="6"/>
  <c r="V51" i="6"/>
  <c r="V39" i="6"/>
  <c r="V36" i="6"/>
  <c r="V35" i="6"/>
  <c r="M297" i="6" l="1"/>
  <c r="M299" i="6" s="1"/>
  <c r="M293" i="6"/>
  <c r="L6" i="1"/>
  <c r="M6" i="1" s="1"/>
  <c r="D80" i="6"/>
  <c r="H13" i="1" s="1"/>
  <c r="C80" i="6"/>
  <c r="G13" i="1" s="1"/>
  <c r="B80" i="6"/>
  <c r="F13" i="1" s="1"/>
  <c r="AD58" i="1"/>
  <c r="AD56" i="1"/>
  <c r="AD55" i="1"/>
  <c r="AD54" i="1"/>
  <c r="AD53" i="1"/>
  <c r="B41" i="1"/>
  <c r="U69" i="6"/>
  <c r="T69" i="6"/>
  <c r="AJ71" i="6"/>
  <c r="T71" i="6" s="1"/>
  <c r="X73" i="6"/>
  <c r="X69" i="6"/>
  <c r="Y91" i="6"/>
  <c r="P269" i="6"/>
  <c r="O269" i="6"/>
  <c r="M269" i="6"/>
  <c r="M270" i="6" s="1"/>
  <c r="D269" i="6"/>
  <c r="C269" i="6"/>
  <c r="B269" i="6"/>
  <c r="M216" i="6"/>
  <c r="P215" i="6"/>
  <c r="O215" i="6"/>
  <c r="M215" i="6"/>
  <c r="D215" i="6"/>
  <c r="C215" i="6"/>
  <c r="B215" i="6"/>
  <c r="P214" i="6"/>
  <c r="O214" i="6"/>
  <c r="M214" i="6"/>
  <c r="D214" i="6"/>
  <c r="C214" i="6"/>
  <c r="B214" i="6"/>
  <c r="O213" i="6"/>
  <c r="M213" i="6"/>
  <c r="D213" i="6"/>
  <c r="C213" i="6"/>
  <c r="B213" i="6"/>
  <c r="B212" i="6"/>
  <c r="C212" i="6"/>
  <c r="D212" i="6"/>
  <c r="M212" i="6"/>
  <c r="O212" i="6"/>
  <c r="B211" i="6"/>
  <c r="C211" i="6"/>
  <c r="D211" i="6"/>
  <c r="M211" i="6"/>
  <c r="O211" i="6"/>
  <c r="P210" i="6"/>
  <c r="O210" i="6"/>
  <c r="M210" i="6"/>
  <c r="D210" i="6"/>
  <c r="C210" i="6"/>
  <c r="B210" i="6"/>
  <c r="P209" i="6"/>
  <c r="O209" i="6"/>
  <c r="M209" i="6"/>
  <c r="D209" i="6"/>
  <c r="C209" i="6"/>
  <c r="B209" i="6"/>
  <c r="P208" i="6"/>
  <c r="AA17" i="6" s="1"/>
  <c r="O208" i="6"/>
  <c r="M208" i="6"/>
  <c r="D208" i="6"/>
  <c r="C208" i="6"/>
  <c r="B208" i="6"/>
  <c r="A213" i="6"/>
  <c r="A212" i="6"/>
  <c r="A211" i="6"/>
  <c r="A210" i="6"/>
  <c r="A209" i="6"/>
  <c r="X66" i="6"/>
  <c r="X65" i="6"/>
  <c r="X64" i="6"/>
  <c r="X63" i="6"/>
  <c r="X62" i="6"/>
  <c r="X61" i="6"/>
  <c r="X60" i="6"/>
  <c r="X59" i="6"/>
  <c r="X58" i="6"/>
  <c r="X57" i="6"/>
  <c r="X56" i="6"/>
  <c r="X55" i="6"/>
  <c r="X54" i="6"/>
  <c r="X53" i="6"/>
  <c r="X52" i="6"/>
  <c r="X51" i="6"/>
  <c r="X48" i="6"/>
  <c r="X47" i="6"/>
  <c r="X46" i="6"/>
  <c r="X45" i="6"/>
  <c r="X44" i="6"/>
  <c r="X43" i="6"/>
  <c r="X42" i="6"/>
  <c r="X41" i="6"/>
  <c r="X40" i="6"/>
  <c r="X39" i="6"/>
  <c r="X38" i="6"/>
  <c r="X37" i="6"/>
  <c r="X36" i="6"/>
  <c r="X35" i="6"/>
  <c r="X34" i="6"/>
  <c r="X33" i="6"/>
  <c r="X31" i="6"/>
  <c r="X30" i="6"/>
  <c r="X29" i="6"/>
  <c r="X28" i="6"/>
  <c r="X27" i="6"/>
  <c r="X24" i="6"/>
  <c r="X23" i="6"/>
  <c r="X21" i="6"/>
  <c r="X20" i="6"/>
  <c r="X18" i="6"/>
  <c r="X17" i="6"/>
  <c r="O40" i="6"/>
  <c r="O32" i="6"/>
  <c r="O26" i="6"/>
  <c r="O22" i="6"/>
  <c r="V66" i="6"/>
  <c r="O66" i="6" s="1"/>
  <c r="V65" i="6"/>
  <c r="O65" i="6" s="1"/>
  <c r="V64" i="6"/>
  <c r="O64" i="6" s="1"/>
  <c r="V63" i="6"/>
  <c r="O63" i="6" s="1"/>
  <c r="V62" i="6"/>
  <c r="O62" i="6" s="1"/>
  <c r="V61" i="6"/>
  <c r="O61" i="6" s="1"/>
  <c r="V60" i="6"/>
  <c r="O60" i="6" s="1"/>
  <c r="V59" i="6"/>
  <c r="O59" i="6" s="1"/>
  <c r="V58" i="6"/>
  <c r="O58" i="6" s="1"/>
  <c r="V57" i="6"/>
  <c r="O57" i="6" s="1"/>
  <c r="O56" i="6"/>
  <c r="V55" i="6"/>
  <c r="O55" i="6" s="1"/>
  <c r="O54" i="6"/>
  <c r="O53" i="6"/>
  <c r="V52" i="6"/>
  <c r="O52" i="6" s="1"/>
  <c r="O51" i="6"/>
  <c r="T48" i="6"/>
  <c r="O48" i="6" s="1"/>
  <c r="T47" i="6"/>
  <c r="O47" i="6" s="1"/>
  <c r="T46" i="6"/>
  <c r="O46" i="6" s="1"/>
  <c r="T45" i="6"/>
  <c r="O45" i="6" s="1"/>
  <c r="U44" i="6"/>
  <c r="T44" i="6"/>
  <c r="V43" i="6"/>
  <c r="O43" i="6" s="1"/>
  <c r="U42" i="6"/>
  <c r="T42" i="6"/>
  <c r="U41" i="6"/>
  <c r="O39" i="6"/>
  <c r="V38" i="6"/>
  <c r="O38" i="6" s="1"/>
  <c r="V37" i="6"/>
  <c r="O36" i="6"/>
  <c r="O35" i="6"/>
  <c r="V34" i="6"/>
  <c r="O34" i="6" s="1"/>
  <c r="V33" i="6"/>
  <c r="O33" i="6" s="1"/>
  <c r="U31" i="6"/>
  <c r="U30" i="6"/>
  <c r="T31" i="6"/>
  <c r="T30" i="6"/>
  <c r="V29" i="6"/>
  <c r="O29" i="6" s="1"/>
  <c r="V28" i="6"/>
  <c r="O28" i="6" s="1"/>
  <c r="V27" i="6"/>
  <c r="O27" i="6" s="1"/>
  <c r="O17" i="6"/>
  <c r="AA62" i="6" l="1"/>
  <c r="P62" i="6" s="1"/>
  <c r="R62" i="6" s="1"/>
  <c r="AA18" i="6"/>
  <c r="L45" i="1"/>
  <c r="N45" i="1" s="1"/>
  <c r="V76" i="6"/>
  <c r="T76" i="6"/>
  <c r="U14" i="6"/>
  <c r="O14" i="6" s="1"/>
  <c r="B15" i="6" s="1"/>
  <c r="R41" i="1"/>
  <c r="F40" i="1" s="1"/>
  <c r="R40" i="1"/>
  <c r="P17" i="6"/>
  <c r="Q17" i="6" s="1"/>
  <c r="O23" i="6"/>
  <c r="O21" i="6"/>
  <c r="O31" i="6"/>
  <c r="O69" i="6"/>
  <c r="O44" i="6"/>
  <c r="AA47" i="6"/>
  <c r="P47" i="6" s="1"/>
  <c r="R47" i="6" s="1"/>
  <c r="O30" i="6"/>
  <c r="C270" i="6"/>
  <c r="D261" i="6" s="1"/>
  <c r="O24" i="6"/>
  <c r="O41" i="6"/>
  <c r="D270" i="6"/>
  <c r="M262" i="6" s="1"/>
  <c r="O20" i="6"/>
  <c r="O42" i="6"/>
  <c r="O270" i="6"/>
  <c r="P262" i="6" s="1"/>
  <c r="P270" i="6"/>
  <c r="Q262" i="6" s="1"/>
  <c r="B270" i="6"/>
  <c r="C262" i="6" s="1"/>
  <c r="AA57" i="6"/>
  <c r="P57" i="6" s="1"/>
  <c r="R57" i="6" s="1"/>
  <c r="AA65" i="6"/>
  <c r="P65" i="6" s="1"/>
  <c r="R65" i="6" s="1"/>
  <c r="AA39" i="6"/>
  <c r="P39" i="6" s="1"/>
  <c r="R39" i="6" s="1"/>
  <c r="O37" i="6"/>
  <c r="AA28" i="6"/>
  <c r="P28" i="6" s="1"/>
  <c r="R28" i="6" s="1"/>
  <c r="AA37" i="6"/>
  <c r="AA45" i="6"/>
  <c r="P45" i="6" s="1"/>
  <c r="R45" i="6" s="1"/>
  <c r="AA55" i="6"/>
  <c r="P55" i="6" s="1"/>
  <c r="R55" i="6" s="1"/>
  <c r="AA63" i="6"/>
  <c r="P63" i="6" s="1"/>
  <c r="R63" i="6" s="1"/>
  <c r="AA29" i="6"/>
  <c r="P29" i="6" s="1"/>
  <c r="Q29" i="6" s="1"/>
  <c r="AA38" i="6"/>
  <c r="P38" i="6" s="1"/>
  <c r="R38" i="6" s="1"/>
  <c r="AA46" i="6"/>
  <c r="P46" i="6" s="1"/>
  <c r="Q46" i="6" s="1"/>
  <c r="AA56" i="6"/>
  <c r="P56" i="6" s="1"/>
  <c r="R56" i="6" s="1"/>
  <c r="AA64" i="6"/>
  <c r="P64" i="6" s="1"/>
  <c r="R64" i="6" s="1"/>
  <c r="AA30" i="6"/>
  <c r="AA20" i="6"/>
  <c r="AA31" i="6"/>
  <c r="AA40" i="6"/>
  <c r="P40" i="6" s="1"/>
  <c r="R40" i="6" s="1"/>
  <c r="AA48" i="6"/>
  <c r="P48" i="6" s="1"/>
  <c r="Q48" i="6" s="1"/>
  <c r="AA58" i="6"/>
  <c r="P58" i="6" s="1"/>
  <c r="R58" i="6" s="1"/>
  <c r="AA66" i="6"/>
  <c r="P66" i="6" s="1"/>
  <c r="Q66" i="6" s="1"/>
  <c r="AA21" i="6"/>
  <c r="AA41" i="6"/>
  <c r="AA51" i="6"/>
  <c r="P51" i="6" s="1"/>
  <c r="R51" i="6" s="1"/>
  <c r="AA59" i="6"/>
  <c r="P59" i="6" s="1"/>
  <c r="R59" i="6" s="1"/>
  <c r="AA23" i="6"/>
  <c r="AA42" i="6"/>
  <c r="AA52" i="6"/>
  <c r="P52" i="6" s="1"/>
  <c r="Q52" i="6" s="1"/>
  <c r="AA60" i="6"/>
  <c r="P60" i="6" s="1"/>
  <c r="Q60" i="6" s="1"/>
  <c r="AA43" i="6"/>
  <c r="P43" i="6" s="1"/>
  <c r="R43" i="6" s="1"/>
  <c r="AA53" i="6"/>
  <c r="P53" i="6" s="1"/>
  <c r="Q53" i="6" s="1"/>
  <c r="AA61" i="6"/>
  <c r="P61" i="6" s="1"/>
  <c r="Q61" i="6" s="1"/>
  <c r="AA27" i="6"/>
  <c r="P27" i="6" s="1"/>
  <c r="R27" i="6" s="1"/>
  <c r="AA36" i="6"/>
  <c r="P36" i="6" s="1"/>
  <c r="R36" i="6" s="1"/>
  <c r="AA44" i="6"/>
  <c r="AA54" i="6"/>
  <c r="P54" i="6" s="1"/>
  <c r="Q54" i="6" s="1"/>
  <c r="O71" i="6"/>
  <c r="D27" i="1"/>
  <c r="D26" i="1"/>
  <c r="D25" i="1"/>
  <c r="P18" i="6" l="1"/>
  <c r="R18" i="6" s="1"/>
  <c r="P14" i="6"/>
  <c r="R14" i="6" s="1"/>
  <c r="B81" i="6"/>
  <c r="F39" i="1"/>
  <c r="B42" i="1" s="1"/>
  <c r="R42" i="1"/>
  <c r="Q62" i="6"/>
  <c r="P31" i="6"/>
  <c r="R31" i="6" s="1"/>
  <c r="P41" i="6"/>
  <c r="Q41" i="6" s="1"/>
  <c r="F56" i="1"/>
  <c r="L55" i="1" s="1"/>
  <c r="N55" i="1" s="1"/>
  <c r="M45" i="1"/>
  <c r="P23" i="6"/>
  <c r="Q23" i="6" s="1"/>
  <c r="R66" i="6"/>
  <c r="O76" i="6"/>
  <c r="P307" i="6" s="1"/>
  <c r="Q307" i="6" s="1"/>
  <c r="U76" i="6"/>
  <c r="P261" i="6"/>
  <c r="O216" i="6" s="1"/>
  <c r="R17" i="6"/>
  <c r="D262" i="6"/>
  <c r="C216" i="6" s="1"/>
  <c r="Q56" i="6"/>
  <c r="P44" i="6"/>
  <c r="Q44" i="6" s="1"/>
  <c r="M261" i="6"/>
  <c r="D216" i="6" s="1"/>
  <c r="R29" i="6"/>
  <c r="P30" i="6"/>
  <c r="Q30" i="6" s="1"/>
  <c r="P21" i="6"/>
  <c r="R21" i="6" s="1"/>
  <c r="Q63" i="6"/>
  <c r="Q38" i="6"/>
  <c r="R52" i="6"/>
  <c r="P42" i="6"/>
  <c r="R42" i="6" s="1"/>
  <c r="R48" i="6"/>
  <c r="Q64" i="6"/>
  <c r="Q47" i="6"/>
  <c r="R61" i="6"/>
  <c r="C261" i="6"/>
  <c r="B216" i="6" s="1"/>
  <c r="P20" i="6"/>
  <c r="R20" i="6" s="1"/>
  <c r="Q45" i="6"/>
  <c r="Q261" i="6"/>
  <c r="P216" i="6" s="1"/>
  <c r="Q65" i="6"/>
  <c r="Q36" i="6"/>
  <c r="Q39" i="6"/>
  <c r="P37" i="6"/>
  <c r="Q51" i="6"/>
  <c r="Q57" i="6"/>
  <c r="Q40" i="6"/>
  <c r="R53" i="6"/>
  <c r="R60" i="6"/>
  <c r="Q55" i="6"/>
  <c r="R54" i="6"/>
  <c r="Q43" i="6"/>
  <c r="Q59" i="6"/>
  <c r="R46" i="6"/>
  <c r="Q28" i="6"/>
  <c r="Q58" i="6"/>
  <c r="Q27" i="6"/>
  <c r="L27" i="1"/>
  <c r="H1" i="1"/>
  <c r="R1" i="6" s="1"/>
  <c r="Q18" i="6" l="1"/>
  <c r="F15" i="1"/>
  <c r="B273" i="6"/>
  <c r="F16" i="1" s="1"/>
  <c r="Q14" i="6"/>
  <c r="N27" i="1"/>
  <c r="M27" i="1"/>
  <c r="F43" i="1"/>
  <c r="B43" i="1" s="1"/>
  <c r="B44" i="1" s="1"/>
  <c r="R41" i="6"/>
  <c r="Q31" i="6"/>
  <c r="R23" i="6"/>
  <c r="B93" i="6"/>
  <c r="B49" i="1" s="1"/>
  <c r="O77" i="6"/>
  <c r="R30" i="6"/>
  <c r="R44" i="6"/>
  <c r="Q21" i="6"/>
  <c r="Q42" i="6"/>
  <c r="Q20" i="6"/>
  <c r="AA35" i="6"/>
  <c r="P35" i="6" s="1"/>
  <c r="AA33" i="6"/>
  <c r="P33" i="6" s="1"/>
  <c r="R33" i="6" s="1"/>
  <c r="AA34" i="6"/>
  <c r="P34" i="6" s="1"/>
  <c r="Q34" i="6" s="1"/>
  <c r="R37" i="6"/>
  <c r="Q37" i="6"/>
  <c r="Q33" i="6" l="1"/>
  <c r="R34" i="6"/>
  <c r="R35" i="6"/>
  <c r="Q35" i="6"/>
  <c r="P213" i="6" l="1"/>
  <c r="P212" i="6"/>
  <c r="AA71" i="6" s="1"/>
  <c r="P71" i="6" s="1"/>
  <c r="P211" i="6"/>
  <c r="AA24" i="6" s="1"/>
  <c r="P24" i="6" s="1"/>
  <c r="R239" i="6"/>
  <c r="R236" i="6"/>
  <c r="R233" i="6"/>
  <c r="R24" i="6" l="1"/>
  <c r="Q24" i="6"/>
  <c r="R71" i="6"/>
  <c r="Q71" i="6"/>
  <c r="AA69" i="6"/>
  <c r="P69" i="6" s="1"/>
  <c r="P76" i="6" s="1"/>
  <c r="P273" i="6" l="1"/>
  <c r="P305" i="6"/>
  <c r="Q305" i="6" s="1"/>
  <c r="P309" i="6"/>
  <c r="Q309" i="6" s="1"/>
  <c r="C93" i="6"/>
  <c r="B54" i="1" s="1"/>
  <c r="P77" i="6"/>
  <c r="F50" i="1" s="1"/>
  <c r="Q69" i="6"/>
  <c r="Q76" i="6" s="1"/>
  <c r="R69" i="6"/>
  <c r="R76" i="6" s="1"/>
  <c r="R273" i="6" s="1"/>
  <c r="U8" i="1"/>
  <c r="S15" i="1" s="1"/>
  <c r="Q273" i="6" l="1"/>
  <c r="P306" i="6"/>
  <c r="Q306" i="6" s="1"/>
  <c r="Q312" i="6" s="1"/>
  <c r="F53" i="1" s="1"/>
  <c r="L53" i="1" s="1"/>
  <c r="M93" i="6"/>
  <c r="D54" i="1" s="1"/>
  <c r="R77" i="6"/>
  <c r="D93" i="6"/>
  <c r="C54" i="1" s="1"/>
  <c r="Q77" i="6"/>
  <c r="B58" i="1" l="1"/>
  <c r="N53" i="1"/>
  <c r="N66" i="1" s="1"/>
  <c r="Q313" i="6"/>
  <c r="B65" i="1" l="1"/>
  <c r="D64" i="1" s="1"/>
  <c r="B50" i="1"/>
  <c r="O95" i="6"/>
  <c r="B95" i="6" s="1"/>
  <c r="D55" i="1" l="1"/>
  <c r="B51" i="1"/>
  <c r="L51" i="1" s="1"/>
  <c r="C55" i="1"/>
  <c r="C95" i="6"/>
  <c r="M95" i="6"/>
  <c r="D95" i="6"/>
  <c r="B55" i="1"/>
  <c r="S11" i="1"/>
  <c r="B9" i="1" s="1"/>
  <c r="T14" i="1"/>
  <c r="T15" i="1"/>
  <c r="N57" i="1" l="1"/>
  <c r="N61" i="1" s="1"/>
  <c r="M57" i="1"/>
  <c r="M51" i="1"/>
  <c r="N65" i="1" l="1"/>
  <c r="L57" i="1"/>
  <c r="L61" i="1" s="1"/>
  <c r="N63" i="1" s="1"/>
  <c r="B62" i="1" s="1"/>
  <c r="D66" i="1" s="1"/>
  <c r="M61" i="1"/>
  <c r="N64" i="1" l="1"/>
  <c r="B63" i="1" s="1"/>
  <c r="B64" i="1"/>
  <c r="D62" i="1" s="1"/>
  <c r="D67" i="1"/>
</calcChain>
</file>

<file path=xl/comments1.xml><?xml version="1.0" encoding="utf-8"?>
<comments xmlns="http://schemas.openxmlformats.org/spreadsheetml/2006/main">
  <authors>
    <author>Matthias Amacher</author>
  </authors>
  <commentList>
    <comment ref="A193" authorId="0" shapeId="0">
      <text>
        <r>
          <rPr>
            <b/>
            <sz val="9"/>
            <color indexed="81"/>
            <rFont val="Segoe UI"/>
            <family val="2"/>
          </rPr>
          <t>Matthias Amacher:</t>
        </r>
        <r>
          <rPr>
            <sz val="9"/>
            <color indexed="81"/>
            <rFont val="Segoe UI"/>
            <family val="2"/>
          </rPr>
          <t xml:space="preserve">
Einzelanlagen bis 4'000 m2 BGF</t>
        </r>
      </text>
    </comment>
    <comment ref="A194" authorId="0" shapeId="0">
      <text>
        <r>
          <rPr>
            <b/>
            <sz val="9"/>
            <color indexed="81"/>
            <rFont val="Segoe UI"/>
            <family val="2"/>
          </rPr>
          <t>Matthias Amacher:</t>
        </r>
        <r>
          <rPr>
            <sz val="9"/>
            <color indexed="81"/>
            <rFont val="Segoe UI"/>
            <family val="2"/>
          </rPr>
          <t xml:space="preserve">
Grössere Einkaufsgeschäfte mit BGF &gt; 4'000 m2. Verbrauchermärkte, Warenhäuser, Kleiderläden. Artikel des täglichen und periodischen Bedarf. Nur geringes Fachmarktangebot. </t>
        </r>
      </text>
    </comment>
    <comment ref="A195" authorId="0" shapeId="0">
      <text>
        <r>
          <rPr>
            <b/>
            <sz val="9"/>
            <color indexed="81"/>
            <rFont val="Segoe UI"/>
            <family val="2"/>
          </rPr>
          <t>Matthias Amacher:</t>
        </r>
        <r>
          <rPr>
            <sz val="9"/>
            <color indexed="81"/>
            <rFont val="Segoe UI"/>
            <family val="2"/>
          </rPr>
          <t xml:space="preserve">
Grössere Verkaufseinrichtungen ab 2'500 m2 BGF, mit spezifischem Angebot (Abumarkt, Möbel, Elektronik, Spielzeug). Fabrikläden und Outlets werden hinzugerechnet. Vor allem Artikel des periodischen Bedarfs. </t>
        </r>
      </text>
    </comment>
    <comment ref="A196" authorId="0" shapeId="0">
      <text>
        <r>
          <rPr>
            <b/>
            <sz val="9"/>
            <color indexed="81"/>
            <rFont val="Segoe UI"/>
            <family val="2"/>
          </rPr>
          <t>Matthias Amacher:</t>
        </r>
        <r>
          <rPr>
            <sz val="9"/>
            <color indexed="81"/>
            <rFont val="Segoe UI"/>
            <family val="2"/>
          </rPr>
          <t xml:space="preserve">
Verkaufseinrichtungen mit BGF &gt; 10'000 m2
mit grossem Food/Non-Food UND Fachmarktangebot</t>
        </r>
      </text>
    </comment>
    <comment ref="A237" authorId="0" shapeId="0">
      <text>
        <r>
          <rPr>
            <b/>
            <sz val="9"/>
            <color indexed="81"/>
            <rFont val="Segoe UI"/>
            <family val="2"/>
          </rPr>
          <t>Matthias Amacher:</t>
        </r>
        <r>
          <rPr>
            <sz val="9"/>
            <color indexed="81"/>
            <rFont val="Segoe UI"/>
            <family val="2"/>
          </rPr>
          <t xml:space="preserve">
Einzelanlagen bis 4'000 m2 BGF</t>
        </r>
      </text>
    </comment>
    <comment ref="A243" authorId="0" shapeId="0">
      <text>
        <r>
          <rPr>
            <b/>
            <sz val="9"/>
            <color indexed="81"/>
            <rFont val="Segoe UI"/>
            <family val="2"/>
          </rPr>
          <t>Matthias Amacher:</t>
        </r>
        <r>
          <rPr>
            <sz val="9"/>
            <color indexed="81"/>
            <rFont val="Segoe UI"/>
            <family val="2"/>
          </rPr>
          <t xml:space="preserve">
Grössere Einkaufsgeschäfte mit BGF &gt; 4'000 m2. Verbrauchermärkte, Warenhäuser, Kleiderläden. Artikel des täglichen und periodischen Bedarf. Nur geringes Fachmarktangebot. </t>
        </r>
      </text>
    </comment>
    <comment ref="A248" authorId="0" shapeId="0">
      <text>
        <r>
          <rPr>
            <b/>
            <sz val="9"/>
            <color indexed="81"/>
            <rFont val="Segoe UI"/>
            <family val="2"/>
          </rPr>
          <t>Matthias Amacher:</t>
        </r>
        <r>
          <rPr>
            <sz val="9"/>
            <color indexed="81"/>
            <rFont val="Segoe UI"/>
            <family val="2"/>
          </rPr>
          <t xml:space="preserve">
Grössere Verkaufseinrichtungen ab 2'500 m2 BGF, mit spezifischem Angebot (Abumarkt, Möbel, Elektronik, Spielzeug). Fabrikläden und Outlets werden hinzugerechnet. Vor allem Artikel des periodischen Bedarfs. </t>
        </r>
      </text>
    </comment>
    <comment ref="A253" authorId="0" shapeId="0">
      <text>
        <r>
          <rPr>
            <b/>
            <sz val="9"/>
            <color indexed="81"/>
            <rFont val="Segoe UI"/>
            <family val="2"/>
          </rPr>
          <t>Matthias Amacher:</t>
        </r>
        <r>
          <rPr>
            <sz val="9"/>
            <color indexed="81"/>
            <rFont val="Segoe UI"/>
            <family val="2"/>
          </rPr>
          <t xml:space="preserve">
Verkaufseinrichtungen mit BGF &gt; 10'000 m2
mit grossem Food/Non-Food UND Fachmarktangebot</t>
        </r>
      </text>
    </comment>
  </commentList>
</comments>
</file>

<file path=xl/sharedStrings.xml><?xml version="1.0" encoding="utf-8"?>
<sst xmlns="http://schemas.openxmlformats.org/spreadsheetml/2006/main" count="922" uniqueCount="511">
  <si>
    <t>Angaben zum Vorhaben</t>
  </si>
  <si>
    <t>Bebauungsplan</t>
  </si>
  <si>
    <t>Baubewilligung</t>
  </si>
  <si>
    <t>Wettbewerb</t>
  </si>
  <si>
    <t>Andere</t>
  </si>
  <si>
    <t>Leitprozess</t>
  </si>
  <si>
    <t xml:space="preserve">Ja </t>
  </si>
  <si>
    <t>Nein</t>
  </si>
  <si>
    <t>Industrie</t>
  </si>
  <si>
    <t>Wohnungen</t>
  </si>
  <si>
    <t>Parkplätze</t>
  </si>
  <si>
    <t>A</t>
  </si>
  <si>
    <t>B</t>
  </si>
  <si>
    <t>C</t>
  </si>
  <si>
    <t>D</t>
  </si>
  <si>
    <t>E</t>
  </si>
  <si>
    <t>F</t>
  </si>
  <si>
    <t>ASP</t>
  </si>
  <si>
    <t>MSP</t>
  </si>
  <si>
    <t>DWV</t>
  </si>
  <si>
    <t>VQS</t>
  </si>
  <si>
    <t>Wohnen</t>
  </si>
  <si>
    <t>Verkaufsgeschäfte</t>
  </si>
  <si>
    <t>Gastbetriebe</t>
  </si>
  <si>
    <t>Hotel</t>
  </si>
  <si>
    <t>Spezialnutzungen</t>
  </si>
  <si>
    <t>Haltestellenkategorie</t>
  </si>
  <si>
    <t>Kursintervall</t>
  </si>
  <si>
    <t>Auswahl</t>
  </si>
  <si>
    <t>Min</t>
  </si>
  <si>
    <t>Max</t>
  </si>
  <si>
    <t>Reduktion gegenüber Grenzbedarf</t>
  </si>
  <si>
    <t>Grenzbedarf Parkplätze</t>
  </si>
  <si>
    <t>Grundlagen: Reduktion aufgrund Standorttyp</t>
  </si>
  <si>
    <t>Mittelwert</t>
  </si>
  <si>
    <t>Total</t>
  </si>
  <si>
    <t>Grundlagen: Fahrtenzahl</t>
  </si>
  <si>
    <t>Dienstleistungen</t>
  </si>
  <si>
    <t>Einzelhandel Lebensmittel</t>
  </si>
  <si>
    <t>Food / Non-Food</t>
  </si>
  <si>
    <t>Fachmarkt</t>
  </si>
  <si>
    <t>Mischformen Food / Non-Food, Fachmarkt</t>
  </si>
  <si>
    <t>Minimum</t>
  </si>
  <si>
    <t>Unteres Quartil</t>
  </si>
  <si>
    <t>Median</t>
  </si>
  <si>
    <t>Oberes Quartil</t>
  </si>
  <si>
    <t>Maximum</t>
  </si>
  <si>
    <t>pro Parkfeld</t>
  </si>
  <si>
    <t>Sa</t>
  </si>
  <si>
    <t>Fr</t>
  </si>
  <si>
    <t>Mo bis Do</t>
  </si>
  <si>
    <t>DTV</t>
  </si>
  <si>
    <t>Gestaltungsplan</t>
  </si>
  <si>
    <t>Beurteilungszeitpunkt</t>
  </si>
  <si>
    <t>spätester</t>
  </si>
  <si>
    <t>frühester</t>
  </si>
  <si>
    <t>JaNeinFrage</t>
  </si>
  <si>
    <t>Weiss nicht</t>
  </si>
  <si>
    <t>Verfahren</t>
  </si>
  <si>
    <t>Aktueller Referenzzustand</t>
  </si>
  <si>
    <t>Liegt die Eröffnung innerhalb von 5 Jahren um den Referenzzustand?</t>
  </si>
  <si>
    <t>(Änderung nur bei Aktualisierung durch vif)</t>
  </si>
  <si>
    <t>Liegt die Eröffnung innerhalb der nächsten 5 Jahre?</t>
  </si>
  <si>
    <t>Aktuelles Jahr</t>
  </si>
  <si>
    <t>(Automatisch)</t>
  </si>
  <si>
    <t>5 Jahre Ref?</t>
  </si>
  <si>
    <t>Innert 5 Jahren</t>
  </si>
  <si>
    <t>Ja</t>
  </si>
  <si>
    <t>Text A</t>
  </si>
  <si>
    <t>Text B</t>
  </si>
  <si>
    <t>Anteil ASP</t>
  </si>
  <si>
    <t>Anteil MSP</t>
  </si>
  <si>
    <t>17-18 Uhr</t>
  </si>
  <si>
    <t>7-8 Uhr</t>
  </si>
  <si>
    <t>Montag - Freitag</t>
  </si>
  <si>
    <t>Grobe Angaben für Anteil des Tagesverkehrs</t>
  </si>
  <si>
    <t>Samstag</t>
  </si>
  <si>
    <t>Quelle: Grob abgeleitet aus Ganglinien aus der SN zur Verkehr aus Parkperungsanlagen</t>
  </si>
  <si>
    <t>Mi erschlossenen Einwohnern gewichtete Bedienungshäufigkeit während der massgebenden Betriebszeit</t>
  </si>
  <si>
    <t>1…4-mal pro Stunde</t>
  </si>
  <si>
    <t>Nicht mit dem ÖV erschlossen</t>
  </si>
  <si>
    <t>&gt; 50%</t>
  </si>
  <si>
    <t>25…50%</t>
  </si>
  <si>
    <t>&lt; 25%</t>
  </si>
  <si>
    <t>Standorttyp</t>
  </si>
  <si>
    <t>Aktueller Ist-Zustand</t>
  </si>
  <si>
    <t>Standortgemeinde</t>
  </si>
  <si>
    <t>Gemeinden</t>
  </si>
  <si>
    <t>Luzern</t>
  </si>
  <si>
    <t>Kriens</t>
  </si>
  <si>
    <t>Emmen</t>
  </si>
  <si>
    <t>Ebikon</t>
  </si>
  <si>
    <t>Rothenburg</t>
  </si>
  <si>
    <t>Malters</t>
  </si>
  <si>
    <t>Alle</t>
  </si>
  <si>
    <t>Bitte informieren Sie sich bei der Standortgemeinde.</t>
  </si>
  <si>
    <t>Parkfelder</t>
  </si>
  <si>
    <t>Datum</t>
  </si>
  <si>
    <t>Einfach</t>
  </si>
  <si>
    <t>Detailliert</t>
  </si>
  <si>
    <t>Reduktion</t>
  </si>
  <si>
    <t>Manuelle Korrektur</t>
  </si>
  <si>
    <t>Info bei "Weiss nicht" oder "leer"</t>
  </si>
  <si>
    <t>Verkehrsnachweis notwendig?</t>
  </si>
  <si>
    <t>Detaillierter Verkehrsnachweis notwendig?</t>
  </si>
  <si>
    <t>Industrie, Gewerbe</t>
  </si>
  <si>
    <t>Laggerräume, Lagerplätze</t>
  </si>
  <si>
    <t>Dienstleistungsbetriebe</t>
  </si>
  <si>
    <t>Kundenintensive Dienstleistungsbetriebe</t>
  </si>
  <si>
    <t>Übrige Dienstleistungsbetriebe</t>
  </si>
  <si>
    <t>Übrige Verkaufsgeschäfte</t>
  </si>
  <si>
    <t>Jugendherberge</t>
  </si>
  <si>
    <t>Restaurant, Café, Bar</t>
  </si>
  <si>
    <t>Kleinspital, Klinik</t>
  </si>
  <si>
    <t>Alters- und Pflegeheim, Sanatorium</t>
  </si>
  <si>
    <t>Kino</t>
  </si>
  <si>
    <t>Theater, Oper, Konzertsaal</t>
  </si>
  <si>
    <t>Bibliothek</t>
  </si>
  <si>
    <t>Diskothek</t>
  </si>
  <si>
    <t>Kirche, Moschee, Synagoge</t>
  </si>
  <si>
    <t>Friedhof</t>
  </si>
  <si>
    <t>Aus- und Weiterbildung</t>
  </si>
  <si>
    <t>Unterhaltung, Kultur, Religion</t>
  </si>
  <si>
    <t>Hort, Kindergarten</t>
  </si>
  <si>
    <t>Primar- und Senkundarsteufe I</t>
  </si>
  <si>
    <t>Sekundarstufe II</t>
  </si>
  <si>
    <t>Musikschule</t>
  </si>
  <si>
    <t>Berufsschule</t>
  </si>
  <si>
    <t>Fachhochschule, Universität</t>
  </si>
  <si>
    <t>Kurslokale für Erwachsenenbildung</t>
  </si>
  <si>
    <t>Sitzungs- und Konferenzsäle</t>
  </si>
  <si>
    <t>Sport- und Freizeiteinrichtungen</t>
  </si>
  <si>
    <t>Hallenbad</t>
  </si>
  <si>
    <t>Eisbahn</t>
  </si>
  <si>
    <t>Freibad</t>
  </si>
  <si>
    <t>Turnhalle</t>
  </si>
  <si>
    <t>Fitnesscenter</t>
  </si>
  <si>
    <t>Leichtathletikanlage mit Spielfeldern</t>
  </si>
  <si>
    <t>Stadion (Fussball, Hockey)</t>
  </si>
  <si>
    <t>Tennisplatz</t>
  </si>
  <si>
    <t>Schiessanlage</t>
  </si>
  <si>
    <t>Finnenbahn, Vita-Parcours</t>
  </si>
  <si>
    <t>Spielsalon, Casino, Clubraum</t>
  </si>
  <si>
    <t>Minigolf</t>
  </si>
  <si>
    <t>Billardsaal</t>
  </si>
  <si>
    <t>Kegel-, Bowlingbahn</t>
  </si>
  <si>
    <t>Reithalle, -stall</t>
  </si>
  <si>
    <t>Bootshafen</t>
  </si>
  <si>
    <t>Fläche</t>
  </si>
  <si>
    <t>Personal</t>
  </si>
  <si>
    <t>Besucher, Kunden</t>
  </si>
  <si>
    <t>Einheit</t>
  </si>
  <si>
    <t>100 m2 BGF</t>
  </si>
  <si>
    <t>100 m2 VF</t>
  </si>
  <si>
    <t>Sitzplatz</t>
  </si>
  <si>
    <t>Bett</t>
  </si>
  <si>
    <t>100 m2 Fläche</t>
  </si>
  <si>
    <t>Sitzplatz / m2 Fläche</t>
  </si>
  <si>
    <t>Besucherplatz</t>
  </si>
  <si>
    <t>Klassenzimmer</t>
  </si>
  <si>
    <t>Unterrichtsraum</t>
  </si>
  <si>
    <t>Schüler</t>
  </si>
  <si>
    <t>Student</t>
  </si>
  <si>
    <t>Schulplatz</t>
  </si>
  <si>
    <t>100 m2 Eisfläche + Zuschauerplatz</t>
  </si>
  <si>
    <t>Garderobenplatz + Zuschauerplatz</t>
  </si>
  <si>
    <t>100 m2 Grundstücksfläche</t>
  </si>
  <si>
    <t>100 m2 Hallenfläche + Zuscherplatz</t>
  </si>
  <si>
    <t xml:space="preserve">Garderobenplatz </t>
  </si>
  <si>
    <t>100 m2 Fläche + Zuschauerplatz</t>
  </si>
  <si>
    <t>Zuschauerplatz</t>
  </si>
  <si>
    <t>Feld + Zuschauerplatz</t>
  </si>
  <si>
    <t>Scheibe</t>
  </si>
  <si>
    <t>Anlage</t>
  </si>
  <si>
    <t>Sitz- bzw. Spielplatz</t>
  </si>
  <si>
    <t>Spieltisch</t>
  </si>
  <si>
    <t>Bahn</t>
  </si>
  <si>
    <t>Pferdeboxe</t>
  </si>
  <si>
    <t>Liegeplatz</t>
  </si>
  <si>
    <t>Alle Kategorien</t>
  </si>
  <si>
    <t>Klassenzimmer + Schüler &gt; 18Jahre</t>
  </si>
  <si>
    <t>Hauptmerkmal</t>
  </si>
  <si>
    <t>Nebenmerkmal</t>
  </si>
  <si>
    <t>Massgebende Fläche</t>
  </si>
  <si>
    <t>Sitzplätze / Besucherplätze</t>
  </si>
  <si>
    <t>* Sitzplätze / Besucherplätze / Schulplätze / Garderobenplätze</t>
  </si>
  <si>
    <t>Schüler / Betten / Plätze*</t>
  </si>
  <si>
    <t>Anlagen / Räume / Zimmer / Feld</t>
  </si>
  <si>
    <t>TOTAL</t>
  </si>
  <si>
    <t>DWV pro PP</t>
  </si>
  <si>
    <t>Bildung</t>
  </si>
  <si>
    <t>Spital</t>
  </si>
  <si>
    <t>Kategorie Norm</t>
  </si>
  <si>
    <t>Museum,. Ausstellungsraum, Galerie</t>
  </si>
  <si>
    <t>Intensität</t>
  </si>
  <si>
    <t>Nutzungstyp</t>
  </si>
  <si>
    <t>Multiplexkino</t>
  </si>
  <si>
    <t>Mo bis  Do</t>
  </si>
  <si>
    <t>Mo - Do</t>
  </si>
  <si>
    <t>Multiplexkino (pro 100 Sitzplätze)</t>
  </si>
  <si>
    <t>Anteil vom oberen Quantil</t>
  </si>
  <si>
    <t>Fahrten DWV pro Tag</t>
  </si>
  <si>
    <t>Fahrten ASP pro Stunde</t>
  </si>
  <si>
    <t>Fahrten MSP pro Stunde</t>
  </si>
  <si>
    <t>Verkehrspotenzial</t>
  </si>
  <si>
    <t>Berechnung Verkehrspotenzial</t>
  </si>
  <si>
    <t>Grundlagen  aus Norm</t>
  </si>
  <si>
    <t>Besucher</t>
  </si>
  <si>
    <t>Einwohner</t>
  </si>
  <si>
    <t>Grundlagen Wohnen</t>
  </si>
  <si>
    <t>m2 pro Parkfeld</t>
  </si>
  <si>
    <t>Parkfelder pro Whg</t>
  </si>
  <si>
    <t>Anteil Besucherinnen</t>
  </si>
  <si>
    <t>Berechnung Grenzbedarf Parkplätze</t>
  </si>
  <si>
    <t>Berechnung der reduzierten Werte</t>
  </si>
  <si>
    <t>Reduktion auf Anteil</t>
  </si>
  <si>
    <t>Ergebnis Grenzbedarf / Potenzial</t>
  </si>
  <si>
    <t>Reduziert</t>
  </si>
  <si>
    <t>Total Nutzungsangaben</t>
  </si>
  <si>
    <t>Räume / Anlagen</t>
  </si>
  <si>
    <t>Wohnnutzung</t>
  </si>
  <si>
    <t>Nicht-Wohnnutzung</t>
  </si>
  <si>
    <t>Nachweis</t>
  </si>
  <si>
    <t>Gisikon</t>
  </si>
  <si>
    <t>Greppen</t>
  </si>
  <si>
    <t>Hildisrieden</t>
  </si>
  <si>
    <t>Horw</t>
  </si>
  <si>
    <t>Adligenswil</t>
  </si>
  <si>
    <t>Buchrain</t>
  </si>
  <si>
    <t>Dierikon</t>
  </si>
  <si>
    <t>Honau</t>
  </si>
  <si>
    <t>Inwil</t>
  </si>
  <si>
    <t>Schwarzenberg</t>
  </si>
  <si>
    <t>Udligenswil</t>
  </si>
  <si>
    <t>Vitznau</t>
  </si>
  <si>
    <t>Weggis</t>
  </si>
  <si>
    <t>(grösserer Wert verwendet)</t>
  </si>
  <si>
    <t>Anteil Güterverkehr</t>
  </si>
  <si>
    <t>Anteil Güterverkehr DWV</t>
  </si>
  <si>
    <t>Bauherrschaft</t>
  </si>
  <si>
    <t>Verkehrsnachweis: Eingabe der Nutzung / Verkehrsdaten (unverbindliche Grobberechnung)</t>
  </si>
  <si>
    <r>
      <t>Güterverkehr, -umschlag (</t>
    </r>
    <r>
      <rPr>
        <b/>
        <u/>
        <sz val="11"/>
        <color theme="1"/>
        <rFont val="Arial"/>
        <family val="2"/>
      </rPr>
      <t>nicht einberechnet, manuelle Eingabe</t>
    </r>
    <r>
      <rPr>
        <b/>
        <sz val="11"/>
        <color theme="1"/>
        <rFont val="Arial"/>
        <family val="2"/>
      </rPr>
      <t xml:space="preserve">) </t>
    </r>
  </si>
  <si>
    <t>Sitzplätze / Betten</t>
  </si>
  <si>
    <t>Schüler / Stundenten</t>
  </si>
  <si>
    <t>Anlagen / Räume / Felder</t>
  </si>
  <si>
    <t>Besucherplätze / Pferdeboxen / Anlegeplatz</t>
  </si>
  <si>
    <t>Datum:</t>
  </si>
  <si>
    <r>
      <rPr>
        <b/>
        <sz val="7.65"/>
        <color theme="1"/>
        <rFont val="Calibri"/>
        <family val="2"/>
      </rPr>
      <t>≥</t>
    </r>
    <r>
      <rPr>
        <b/>
        <sz val="7.65"/>
        <color theme="1"/>
        <rFont val="Arial"/>
        <family val="2"/>
      </rPr>
      <t xml:space="preserve">  4-mal pro Stunde</t>
    </r>
  </si>
  <si>
    <t>≥  4-mal pro Stunde</t>
  </si>
  <si>
    <t>1 PP pro X m2 mGF</t>
  </si>
  <si>
    <t>m2</t>
  </si>
  <si>
    <t>Orange Nutzungen</t>
  </si>
  <si>
    <t>Rote Nutzungen</t>
  </si>
  <si>
    <t>Nahrungsmittelverkauf</t>
  </si>
  <si>
    <t>Logistik</t>
  </si>
  <si>
    <t>Dienstleistungsbetrieb mit intensivem Kundenverkehr</t>
  </si>
  <si>
    <r>
      <t>m</t>
    </r>
    <r>
      <rPr>
        <vertAlign val="superscript"/>
        <sz val="12"/>
        <color theme="1"/>
        <rFont val="Arial"/>
        <family val="2"/>
      </rPr>
      <t>2</t>
    </r>
  </si>
  <si>
    <t>Spezial-Fachmarkt</t>
  </si>
  <si>
    <t>Einkaufszentrum</t>
  </si>
  <si>
    <t>Triggerwert</t>
  </si>
  <si>
    <t>Gemäss obigen Angaben</t>
  </si>
  <si>
    <t>Rote und orange Nutzungen</t>
  </si>
  <si>
    <t>Sondernutzungsplanung</t>
  </si>
  <si>
    <t>Grosses Vorhaben?</t>
  </si>
  <si>
    <t>(unverbindliche Einschätzung)</t>
  </si>
  <si>
    <t>Beurteilungszeitpunkt (Vorschlag)</t>
  </si>
  <si>
    <t>Rote / orange Nutzung (Mn S-7 AG LU 3G)?</t>
  </si>
  <si>
    <t>Datenquellen:</t>
  </si>
  <si>
    <t>Version:</t>
  </si>
  <si>
    <t>Titel:</t>
  </si>
  <si>
    <t>Projekt:</t>
  </si>
  <si>
    <t>Teilrichtplan ASV LU</t>
  </si>
  <si>
    <t>Ergebnis</t>
  </si>
  <si>
    <t>Rot / orange Nutzung</t>
  </si>
  <si>
    <t>Grosse Vorhaben</t>
  </si>
  <si>
    <t>Bedienungshäufigkeit ÖV (geplant)</t>
  </si>
  <si>
    <t>Mobilitätskonzept notwendig?</t>
  </si>
  <si>
    <t>Grössenordnungen:</t>
  </si>
  <si>
    <t>Name
Adresse
PLZ Ort
Tel. Nr / E-Mail</t>
  </si>
  <si>
    <t>Reduktion auf ..% des Grenzbedarfs</t>
  </si>
  <si>
    <t>Wohnungen / Anlagen / Räume / Zimmer / Felder</t>
  </si>
  <si>
    <t>Kundenintensive Verkaufsgeschäfte</t>
  </si>
  <si>
    <r>
      <t>Einkaufszentren ab 2'000 m</t>
    </r>
    <r>
      <rPr>
        <b/>
        <vertAlign val="superscript"/>
        <sz val="11"/>
        <color theme="1"/>
        <rFont val="Arial"/>
        <family val="2"/>
      </rPr>
      <t>2</t>
    </r>
    <r>
      <rPr>
        <b/>
        <sz val="11"/>
        <color theme="1"/>
        <rFont val="Arial"/>
        <family val="2"/>
      </rPr>
      <t xml:space="preserve"> Verkehrsfläche / 3'000 m</t>
    </r>
    <r>
      <rPr>
        <b/>
        <vertAlign val="superscript"/>
        <sz val="11"/>
        <color theme="1"/>
        <rFont val="Arial"/>
        <family val="2"/>
      </rPr>
      <t>2</t>
    </r>
    <r>
      <rPr>
        <b/>
        <sz val="11"/>
        <color theme="1"/>
        <rFont val="Arial"/>
        <family val="2"/>
      </rPr>
      <t xml:space="preserve"> mGF mit Mischnutzung: Grossverteiler (inkl. Lebensmittel), Hobby, Mode, Möbel, Restaurants, etc.</t>
    </r>
  </si>
  <si>
    <r>
      <t>Massgebende 
Fläche (in m</t>
    </r>
    <r>
      <rPr>
        <b/>
        <vertAlign val="superscript"/>
        <sz val="11"/>
        <color theme="1"/>
        <rFont val="Arial"/>
        <family val="2"/>
      </rPr>
      <t>2</t>
    </r>
    <r>
      <rPr>
        <b/>
        <sz val="11"/>
        <color theme="1"/>
        <rFont val="Arial"/>
        <family val="2"/>
      </rPr>
      <t>)</t>
    </r>
  </si>
  <si>
    <r>
      <t>m</t>
    </r>
    <r>
      <rPr>
        <vertAlign val="superscript"/>
        <sz val="11"/>
        <color theme="1"/>
        <rFont val="Arial"/>
        <family val="2"/>
      </rPr>
      <t>2</t>
    </r>
  </si>
  <si>
    <r>
      <t>m</t>
    </r>
    <r>
      <rPr>
        <b/>
        <vertAlign val="superscript"/>
        <sz val="11"/>
        <color theme="1"/>
        <rFont val="Arial"/>
        <family val="2"/>
      </rPr>
      <t>2</t>
    </r>
  </si>
  <si>
    <t>&lt;&lt;&lt; verwendet zur Bestimmung des Verkehrserzeugung pro Fläche</t>
  </si>
  <si>
    <r>
      <t>DWV pro 100 m</t>
    </r>
    <r>
      <rPr>
        <vertAlign val="superscript"/>
        <sz val="12"/>
        <color theme="1"/>
        <rFont val="Arial"/>
        <family val="2"/>
      </rPr>
      <t>2</t>
    </r>
  </si>
  <si>
    <r>
      <t>ASP pro 100 m</t>
    </r>
    <r>
      <rPr>
        <b/>
        <vertAlign val="superscript"/>
        <sz val="11"/>
        <color theme="1"/>
        <rFont val="Arial"/>
        <family val="2"/>
      </rPr>
      <t>2</t>
    </r>
  </si>
  <si>
    <r>
      <t>MSP pro 100 m</t>
    </r>
    <r>
      <rPr>
        <b/>
        <vertAlign val="superscript"/>
        <sz val="11"/>
        <color theme="1"/>
        <rFont val="Arial"/>
        <family val="2"/>
      </rPr>
      <t>2</t>
    </r>
  </si>
  <si>
    <t>Reduzierter PP-Bedarf</t>
  </si>
  <si>
    <t>Schwelle red. Bedarf</t>
  </si>
  <si>
    <t>PP</t>
  </si>
  <si>
    <t>Reduziertes Verkehrspotenzial</t>
  </si>
  <si>
    <t>&gt;&gt; einfach</t>
  </si>
  <si>
    <t>&gt;&gt; detailliert</t>
  </si>
  <si>
    <t>Auflagen?</t>
  </si>
  <si>
    <t>Wohnnutzung (automatisch)</t>
  </si>
  <si>
    <t>Nicht-Wohnnutzung (automatisch)</t>
  </si>
  <si>
    <t>Gesamte Fläche (manuell; überschreibt automatische Werte)</t>
  </si>
  <si>
    <t>Verwendete Nutzfläche</t>
  </si>
  <si>
    <t>&gt;&gt;&gt;</t>
  </si>
  <si>
    <t>Reduktion auf Mittelwert…</t>
  </si>
  <si>
    <t>Bitte prüfen Sie die Verkehrsqualität mit Hilfe der Web-Karte der vif.</t>
  </si>
  <si>
    <t>VQS IST-Zustand</t>
  </si>
  <si>
    <t>VQS Referenzfall</t>
  </si>
  <si>
    <t>Grosses Vorhaben</t>
  </si>
  <si>
    <t>Fahrten DWV &gt; 500</t>
  </si>
  <si>
    <t>Fahrten ASP/MSP &gt; 50</t>
  </si>
  <si>
    <t>Parkplätze &gt; 500</t>
  </si>
  <si>
    <t>Fahrten Güterverkehr pro Tag &gt; 400</t>
  </si>
  <si>
    <t>Fahrten an Spitzentagen &gt; 3000</t>
  </si>
  <si>
    <t>Einkaufszentrum mit Fläche &gt; 6000</t>
  </si>
  <si>
    <t>ASP/MSP</t>
  </si>
  <si>
    <t>Güterverkehr</t>
  </si>
  <si>
    <t>Wert</t>
  </si>
  <si>
    <t>höher als im Durchschnitt</t>
  </si>
  <si>
    <t>Fachmarkt mit Fläche &gt; 10000</t>
  </si>
  <si>
    <t>Triggerwert?</t>
  </si>
  <si>
    <t>Prüfung, ob es sich mit hoher W'kei um ein "grosses Vorhaben" handelt</t>
  </si>
  <si>
    <t xml:space="preserve">Grobbeurteilung "orange und rote Nutzungen" (Mn S-7 AP LU 3G) </t>
  </si>
  <si>
    <t>&gt;&gt;&gt; verwendet</t>
  </si>
  <si>
    <r>
      <t>Fläche (m</t>
    </r>
    <r>
      <rPr>
        <b/>
        <vertAlign val="superscript"/>
        <sz val="11"/>
        <color theme="1"/>
        <rFont val="Arial"/>
        <family val="2"/>
      </rPr>
      <t>2</t>
    </r>
    <r>
      <rPr>
        <b/>
        <sz val="11"/>
        <color theme="1"/>
        <rFont val="Arial"/>
        <family val="2"/>
      </rPr>
      <t>)</t>
    </r>
  </si>
  <si>
    <t>Anz. Sitzplätze</t>
  </si>
  <si>
    <t>Anz. Wohnungen</t>
  </si>
  <si>
    <t>Projektspezifischer Anschlussknoten (Bezeichnung, Nummer)</t>
  </si>
  <si>
    <t>Verwendete Reduktion</t>
  </si>
  <si>
    <t>Reduktion Parkplatzbedarf (gemäss Standorttyp)</t>
  </si>
  <si>
    <t>Reduzierter Bedarf an Parkplätzen</t>
  </si>
  <si>
    <t>=&gt; verwendet</t>
  </si>
  <si>
    <t>Handelt es sich um ein Einkaufs- und Fachmarktzentrum gemäss §169 PBG?</t>
  </si>
  <si>
    <t>Ist voraussichtlich ein Verkehrsnachweis notwendig?</t>
  </si>
  <si>
    <t>Einfacher Verkehrsnachweis?</t>
  </si>
  <si>
    <t>Detaillierter Verkehrsnachweis?</t>
  </si>
  <si>
    <t>Mobilitätskonzept?</t>
  </si>
  <si>
    <t>Es ist kein Verkehrsnachweis notwendig</t>
  </si>
  <si>
    <t>Es ist ein einfacher Verkehrsnachweis notwendig</t>
  </si>
  <si>
    <t>Es ist ein detaillierter Verkehrsnachweis notwendig</t>
  </si>
  <si>
    <t>Es ist ein Mobilitätskonzept notwendig</t>
  </si>
  <si>
    <t>Einkaufszentrum / Fachmarkt</t>
  </si>
  <si>
    <t>Test</t>
  </si>
  <si>
    <t>Knoten1 überlastet?</t>
  </si>
  <si>
    <t>Knoten2 überlastet?</t>
  </si>
  <si>
    <t>Knoten3 überlastet?</t>
  </si>
  <si>
    <t>Knoten4 überlastet?</t>
  </si>
  <si>
    <t>REF ausge- oder überlastet?</t>
  </si>
  <si>
    <t>IST ausge- oder überlastet?</t>
  </si>
  <si>
    <t>3-4 Stichtworte zur Beschreibung der geplanten</t>
  </si>
  <si>
    <t>Nutzung / des Vorhabens.</t>
  </si>
  <si>
    <t xml:space="preserve">Anteil Fuss- und Veloverkehr </t>
  </si>
  <si>
    <t>(am Gesamtverkehr)</t>
  </si>
  <si>
    <t>Knoten5 überlastet?</t>
  </si>
  <si>
    <t xml:space="preserve">Kurzbeschrieb des Vorhabens </t>
  </si>
  <si>
    <t>Ist die Erstellung oder Änderung einer Zufahrt zu einer öffentlichen Strasse vorgesehen (vgl. §32 StrG)?</t>
  </si>
  <si>
    <t>Bitte konsultieren Sie §32 des kantonalen Strassengesetzes (StrG).</t>
  </si>
  <si>
    <t>Bitte prüfen Sie die Voraussetzungen in §169 im kantonalen Planungs- und Baugesetz (PBG).</t>
  </si>
  <si>
    <t>Strassenname (Kantonsstrasse)</t>
  </si>
  <si>
    <t>Eröffnungsjahr / letztes Baujahr</t>
  </si>
  <si>
    <t>Hinweise:</t>
  </si>
  <si>
    <t>=&gt; Grundlagen Verkehr</t>
  </si>
  <si>
    <t>Unverbindliche Grobschätzung</t>
  </si>
  <si>
    <t>Unverbindliche Grobschätzung: Parkplätze und Verkehrserzeugung, rote/orange Nutzung, grosse Vorhaben</t>
  </si>
  <si>
    <t>Kontaktdaten</t>
  </si>
  <si>
    <t>Angaben zum Umfeld (Vorschriften, Verkehrsqualität der Anschlussknoten)</t>
  </si>
  <si>
    <t>Gibt es für das Gebiet Vorschriften zur Parkplatzzahl / zur Verkehrserzeugung (z.B. aus Sondernutzungsplanung oder Bau- und Zonenreglement)?</t>
  </si>
  <si>
    <t>VSS 40 281 (Parkieren, Angebot an Parkfeldern für Personenwagen)
VSS 40 283 (Parkieren, Verkehrsaufkommen von Parkierungsanlagen von Nicht-Wohnnutzungen)</t>
  </si>
  <si>
    <t xml:space="preserve">Beilage 2 - Excel-Tool Verkehrsverträglichkeit </t>
  </si>
  <si>
    <t>Einfacher Verkehrsnachweis notwendig?</t>
  </si>
  <si>
    <t>Angaben zum Standort (vgl. VSS 40 281)</t>
  </si>
  <si>
    <r>
      <rPr>
        <b/>
        <sz val="11"/>
        <color theme="1"/>
        <rFont val="Arial"/>
        <family val="2"/>
      </rPr>
      <t>Grundlagen</t>
    </r>
    <r>
      <rPr>
        <sz val="11"/>
        <color theme="1"/>
        <rFont val="Arial"/>
        <family val="2"/>
      </rPr>
      <t xml:space="preserve">: VSS 40 281 / VSS 40 283 </t>
    </r>
  </si>
  <si>
    <t>Excel-Tool "Verkehrsrelevanz"</t>
  </si>
  <si>
    <t>Fahrten ASP/MSP</t>
  </si>
  <si>
    <t>Schwelle Fahrten ASP/ MSP</t>
  </si>
  <si>
    <t>Anzahl</t>
  </si>
  <si>
    <t>Prozentsatz umgesetzt bis 2040</t>
  </si>
  <si>
    <t>1-Zimmerwohnung</t>
  </si>
  <si>
    <t>2-Zimmerwohnung</t>
  </si>
  <si>
    <t>3-Zimmerwohnung</t>
  </si>
  <si>
    <t>4-Zimmerwohnung</t>
  </si>
  <si>
    <t>5-Zimmerwohnung</t>
  </si>
  <si>
    <t>6 und mehr Zimmerwohnung</t>
  </si>
  <si>
    <t>Referenzwerte</t>
  </si>
  <si>
    <t>Quelle / Verfasser:</t>
  </si>
  <si>
    <t>Thema</t>
  </si>
  <si>
    <t>Klasse</t>
  </si>
  <si>
    <t>gemeindespezifische Kennwerte</t>
  </si>
  <si>
    <t>Städtische Gemeinde einer grossen Agglomeration</t>
  </si>
  <si>
    <t>Städtische Gemeinde einer mittelgrossen Agglomeration</t>
  </si>
  <si>
    <t>Städtische Gemeinde einer kleinen oder ausserhalb einer Agglomeration</t>
  </si>
  <si>
    <t>Periurbane Gemeinde hoher Dichte</t>
  </si>
  <si>
    <t>Periurbane Gemeinde mittlerer Dichte</t>
  </si>
  <si>
    <t>Periurbane Gemeinde geringer Dichte</t>
  </si>
  <si>
    <t>Ländliche Zentrumsgemeinde</t>
  </si>
  <si>
    <t>Ländliche zentral gelegene Gemeinde</t>
  </si>
  <si>
    <t>Ländliche periphere Gemeinde</t>
  </si>
  <si>
    <t>Einwohner genäss
 Wohnungen nach Flächenklasse [m2]</t>
  </si>
  <si>
    <t>0-29</t>
  </si>
  <si>
    <t>30-39</t>
  </si>
  <si>
    <t>40-59</t>
  </si>
  <si>
    <t>60-79</t>
  </si>
  <si>
    <t>80-99</t>
  </si>
  <si>
    <t>100-119</t>
  </si>
  <si>
    <t>120-159</t>
  </si>
  <si>
    <t>160-999</t>
  </si>
  <si>
    <t xml:space="preserve">Einwohner gemäss 
Wohnungen 
nach Zimmerzahl </t>
  </si>
  <si>
    <t>6+</t>
  </si>
  <si>
    <t>Gemeinde</t>
  </si>
  <si>
    <t>BFS Nr</t>
  </si>
  <si>
    <t>Typologie</t>
  </si>
  <si>
    <t>Doppleschwand</t>
  </si>
  <si>
    <t>Entlebuch</t>
  </si>
  <si>
    <t>Flühli</t>
  </si>
  <si>
    <t>Hasle (LU)</t>
  </si>
  <si>
    <t>Romoos</t>
  </si>
  <si>
    <t>Schüpfheim</t>
  </si>
  <si>
    <t>Werthenstein</t>
  </si>
  <si>
    <t>Escholzmatt-Marbach</t>
  </si>
  <si>
    <t>Aesch (LU)</t>
  </si>
  <si>
    <t>Ballwil</t>
  </si>
  <si>
    <t>Ermensee</t>
  </si>
  <si>
    <t>Eschenbach (LU)</t>
  </si>
  <si>
    <t>Hitzkirch</t>
  </si>
  <si>
    <t>Hochdorf</t>
  </si>
  <si>
    <t>Hohenrain</t>
  </si>
  <si>
    <t>Rain</t>
  </si>
  <si>
    <t>Römerswil</t>
  </si>
  <si>
    <t>Schongau</t>
  </si>
  <si>
    <t>Meggen</t>
  </si>
  <si>
    <t>Meierskappel</t>
  </si>
  <si>
    <t>Root</t>
  </si>
  <si>
    <t>Beromünster</t>
  </si>
  <si>
    <t>Büron</t>
  </si>
  <si>
    <t>Buttisholz</t>
  </si>
  <si>
    <t>Eich</t>
  </si>
  <si>
    <t>Geuensee</t>
  </si>
  <si>
    <t>Grosswangen</t>
  </si>
  <si>
    <t>Knutwil</t>
  </si>
  <si>
    <t>Mauensee</t>
  </si>
  <si>
    <t>Neuenkirch</t>
  </si>
  <si>
    <t>Nottwil</t>
  </si>
  <si>
    <t>Oberkirch</t>
  </si>
  <si>
    <t>Rickenbach (LU)</t>
  </si>
  <si>
    <t>Ruswil</t>
  </si>
  <si>
    <t>Schenkon</t>
  </si>
  <si>
    <t>Schlierbach</t>
  </si>
  <si>
    <t>Sempach</t>
  </si>
  <si>
    <t>Sursee</t>
  </si>
  <si>
    <t>Triengen</t>
  </si>
  <si>
    <t>Wolhusen</t>
  </si>
  <si>
    <t>Alberswil</t>
  </si>
  <si>
    <t>Altbüron</t>
  </si>
  <si>
    <t>Altishofen</t>
  </si>
  <si>
    <t>Dagmersellen</t>
  </si>
  <si>
    <t>Egolzwil</t>
  </si>
  <si>
    <t>Ettiswil</t>
  </si>
  <si>
    <t>Fischbach</t>
  </si>
  <si>
    <t>Grossdietwil</t>
  </si>
  <si>
    <t>Hergiswil bei Willisau</t>
  </si>
  <si>
    <t>Luthern</t>
  </si>
  <si>
    <t>Menznau</t>
  </si>
  <si>
    <t>Nebikon</t>
  </si>
  <si>
    <t>Pfaffnau</t>
  </si>
  <si>
    <t>Reiden</t>
  </si>
  <si>
    <t>Roggliswil</t>
  </si>
  <si>
    <t>Schötz</t>
  </si>
  <si>
    <t>Ufhusen</t>
  </si>
  <si>
    <t>Wauwil</t>
  </si>
  <si>
    <t>Wikon</t>
  </si>
  <si>
    <t>Zell (LU)</t>
  </si>
  <si>
    <t>Willisau</t>
  </si>
  <si>
    <t>Spezifikation Wohnungen (falls vorhanden)</t>
  </si>
  <si>
    <t>Total Bewohnende / Beschäftigte</t>
  </si>
  <si>
    <t>Beschäftigte</t>
  </si>
  <si>
    <t>bis 2040</t>
  </si>
  <si>
    <t>Nord</t>
  </si>
  <si>
    <t>Ost</t>
  </si>
  <si>
    <t>Einwohner Endzustand</t>
  </si>
  <si>
    <t>Beschäftigte Endzustand</t>
  </si>
  <si>
    <t xml:space="preserve">Anzahl Fahrten </t>
  </si>
  <si>
    <t>(Aus Verkehrsnachweis übernehmen)</t>
  </si>
  <si>
    <r>
      <t>Einkaufszentren ab 2'000 m</t>
    </r>
    <r>
      <rPr>
        <vertAlign val="superscript"/>
        <sz val="10"/>
        <color theme="1"/>
        <rFont val="Arial"/>
        <family val="2"/>
      </rPr>
      <t>2</t>
    </r>
    <r>
      <rPr>
        <sz val="10"/>
        <color theme="1"/>
        <rFont val="Arial"/>
        <family val="2"/>
      </rPr>
      <t xml:space="preserve"> Verkehrsfläche / 3'000 m</t>
    </r>
    <r>
      <rPr>
        <vertAlign val="superscript"/>
        <sz val="10"/>
        <color theme="1"/>
        <rFont val="Arial"/>
        <family val="2"/>
      </rPr>
      <t>2</t>
    </r>
    <r>
      <rPr>
        <sz val="10"/>
        <color theme="1"/>
        <rFont val="Arial"/>
        <family val="2"/>
      </rPr>
      <t xml:space="preserve"> mGF mit Mischnutzung: Grossverteiler (inkl. Lebensmittel), Hobby, Mode, Möbel, Restaurants, etc.</t>
    </r>
  </si>
  <si>
    <r>
      <t>Güterverkehr, -umschlag (</t>
    </r>
    <r>
      <rPr>
        <u/>
        <sz val="10"/>
        <color theme="1"/>
        <rFont val="Arial"/>
        <family val="2"/>
      </rPr>
      <t>nicht einberechnet, manuelle Eingabe</t>
    </r>
    <r>
      <rPr>
        <sz val="10"/>
        <color theme="1"/>
        <rFont val="Arial"/>
        <family val="2"/>
      </rPr>
      <t xml:space="preserve">) </t>
    </r>
  </si>
  <si>
    <t>LUBAT, GVM-LU, plan:team</t>
  </si>
  <si>
    <t>Koordinaten (LV 95)</t>
  </si>
  <si>
    <t>Anzahl Parkplätze</t>
  </si>
  <si>
    <t>Verkehrsnachweis: Festlegung Fahrten und/oder Parkplätze</t>
  </si>
  <si>
    <t>Projektnummer</t>
  </si>
  <si>
    <t xml:space="preserve"> </t>
  </si>
  <si>
    <t>https://www.geo.lu.ch/map/grundbuchplan/</t>
  </si>
  <si>
    <t>Durchschnittswerte gemäss Wüest &amp; Partner</t>
  </si>
  <si>
    <t>Faktoren</t>
  </si>
  <si>
    <t>Durchschnittliche Wohnungsgrösse</t>
  </si>
  <si>
    <t>massgebende Fläche (Total)</t>
  </si>
  <si>
    <t>Flächenklasse</t>
  </si>
  <si>
    <t>Typologie Gemeinde</t>
  </si>
  <si>
    <t>Primar- und Sekundarsteufe I</t>
  </si>
  <si>
    <t>nach Zimmerzahl</t>
  </si>
  <si>
    <t>nach Flächenklasse</t>
  </si>
  <si>
    <t>m2 pro Beschäftigte Geschossfläche / Sitzplätze / Betten / … (von GVM-LU übernommen)</t>
  </si>
  <si>
    <t>Summe in m2</t>
  </si>
  <si>
    <t>Summe Mittelwerte</t>
  </si>
  <si>
    <t>Prozentsatz umgesetzt zwischen 2041 und 2045</t>
  </si>
  <si>
    <t>Prozentsatz umgesetzt zwischen 2046 bis 2050</t>
  </si>
  <si>
    <t>Prozentsatz umgesetzt zwischen 2051 bis 2055</t>
  </si>
  <si>
    <t>Prozentsatz umgesetzt zwischen 2056 bis 2060</t>
  </si>
  <si>
    <t>Anzahl Beschäftigte</t>
  </si>
  <si>
    <t>Prozentsatz umgesetzt zwischen 2041 bis 2045</t>
  </si>
  <si>
    <t>zwischen 2041 bis 2045</t>
  </si>
  <si>
    <t>zwischen 2046 bis 2050</t>
  </si>
  <si>
    <t>zwischen 2051 bis 2055</t>
  </si>
  <si>
    <t>zwischen 2056 bis 2060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</si>
</sst>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 ;\-#,##0\ "/>
    <numFmt numFmtId="165" formatCode="[Black]#,##0;[Red]\-#,##0;&quot;-&quot;"/>
    <numFmt numFmtId="166" formatCode="[Black]#,##0.00;[Red]\-#,##0.00;&quot;-&quot;"/>
    <numFmt numFmtId="167" formatCode="[Black]#,##0.00;[Color29]\-#,##0.00;&quot;-&quot;"/>
    <numFmt numFmtId="168" formatCode="[Black]#,##0;[Color29]\-#,##0;&quot;-&quot;"/>
    <numFmt numFmtId="169" formatCode="[Black]#,##0.0;[Red]\-#,##0.0;&quot;-&quot;"/>
  </numFmts>
  <fonts count="52" x14ac:knownFonts="1">
    <font>
      <sz val="11"/>
      <color theme="1"/>
      <name val="Arial"/>
      <family val="2"/>
      <scheme val="minor"/>
    </font>
    <font>
      <sz val="11"/>
      <color theme="1"/>
      <name val="Arial"/>
      <family val="2"/>
      <scheme val="minor"/>
    </font>
    <font>
      <sz val="9"/>
      <color theme="1"/>
      <name val="Arial"/>
      <family val="2"/>
    </font>
    <font>
      <b/>
      <sz val="9"/>
      <color theme="1"/>
      <name val="Arial"/>
      <family val="2"/>
    </font>
    <font>
      <sz val="9"/>
      <color indexed="81"/>
      <name val="Segoe UI"/>
      <family val="2"/>
    </font>
    <font>
      <b/>
      <sz val="9"/>
      <color indexed="81"/>
      <name val="Segoe UI"/>
      <family val="2"/>
    </font>
    <font>
      <sz val="11"/>
      <color rgb="FF006100"/>
      <name val="Arial"/>
      <family val="2"/>
      <scheme val="minor"/>
    </font>
    <font>
      <b/>
      <sz val="7.65"/>
      <color theme="1"/>
      <name val="Arial"/>
      <family val="2"/>
    </font>
    <font>
      <b/>
      <sz val="11"/>
      <color theme="1"/>
      <name val="Arial"/>
      <family val="2"/>
      <scheme val="minor"/>
    </font>
    <font>
      <sz val="11"/>
      <color theme="1"/>
      <name val="Arial"/>
      <family val="2"/>
    </font>
    <font>
      <b/>
      <sz val="10"/>
      <color theme="1"/>
      <name val="Arial"/>
      <family val="2"/>
    </font>
    <font>
      <b/>
      <sz val="11"/>
      <color theme="1"/>
      <name val="Arial"/>
      <family val="2"/>
    </font>
    <font>
      <i/>
      <sz val="11"/>
      <color theme="1"/>
      <name val="Arial"/>
      <family val="2"/>
    </font>
    <font>
      <sz val="12"/>
      <color theme="1"/>
      <name val="Arial"/>
      <family val="2"/>
    </font>
    <font>
      <b/>
      <sz val="12"/>
      <color theme="1"/>
      <name val="Arial"/>
      <family val="2"/>
    </font>
    <font>
      <i/>
      <sz val="12"/>
      <color rgb="FFFF0000"/>
      <name val="Arial"/>
      <family val="2"/>
    </font>
    <font>
      <sz val="12"/>
      <color theme="1"/>
      <name val="Arial"/>
      <family val="2"/>
      <scheme val="minor"/>
    </font>
    <font>
      <i/>
      <sz val="12"/>
      <color theme="1"/>
      <name val="Arial"/>
      <family val="2"/>
    </font>
    <font>
      <sz val="12"/>
      <color rgb="FF006100"/>
      <name val="Arial"/>
      <family val="2"/>
      <scheme val="minor"/>
    </font>
    <font>
      <b/>
      <u/>
      <sz val="18"/>
      <color theme="4"/>
      <name val="Arial"/>
      <family val="2"/>
    </font>
    <font>
      <b/>
      <u/>
      <sz val="11"/>
      <color theme="1"/>
      <name val="Arial"/>
      <family val="2"/>
    </font>
    <font>
      <b/>
      <sz val="7.65"/>
      <color theme="1"/>
      <name val="Calibri"/>
      <family val="2"/>
    </font>
    <font>
      <vertAlign val="superscript"/>
      <sz val="12"/>
      <color theme="1"/>
      <name val="Arial"/>
      <family val="2"/>
    </font>
    <font>
      <sz val="9"/>
      <name val="Arial"/>
      <family val="2"/>
    </font>
    <font>
      <b/>
      <sz val="9"/>
      <name val="Arial"/>
      <family val="2"/>
    </font>
    <font>
      <b/>
      <sz val="16"/>
      <color rgb="FF5F7E8F"/>
      <name val="Arial"/>
      <family val="2"/>
    </font>
    <font>
      <i/>
      <sz val="9"/>
      <color theme="1"/>
      <name val="Arial"/>
      <family val="2"/>
    </font>
    <font>
      <sz val="10"/>
      <color theme="1"/>
      <name val="Arial"/>
      <family val="2"/>
    </font>
    <font>
      <sz val="10"/>
      <color rgb="FFFF0000"/>
      <name val="Arial"/>
      <family val="2"/>
    </font>
    <font>
      <b/>
      <vertAlign val="superscript"/>
      <sz val="11"/>
      <color theme="1"/>
      <name val="Arial"/>
      <family val="2"/>
    </font>
    <font>
      <vertAlign val="superscript"/>
      <sz val="11"/>
      <color theme="1"/>
      <name val="Arial"/>
      <family val="2"/>
    </font>
    <font>
      <b/>
      <sz val="10"/>
      <color rgb="FFFF0000"/>
      <name val="Arial"/>
      <family val="2"/>
    </font>
    <font>
      <sz val="16"/>
      <color theme="1"/>
      <name val="Arial"/>
      <family val="2"/>
    </font>
    <font>
      <b/>
      <u/>
      <sz val="18"/>
      <name val="Arial"/>
      <family val="2"/>
    </font>
    <font>
      <i/>
      <sz val="10"/>
      <color theme="1"/>
      <name val="Arial"/>
      <family val="2"/>
    </font>
    <font>
      <u/>
      <sz val="11"/>
      <color theme="10"/>
      <name val="Arial"/>
      <family val="2"/>
      <scheme val="minor"/>
    </font>
    <font>
      <u/>
      <sz val="10"/>
      <color theme="10"/>
      <name val="Arial"/>
      <family val="2"/>
      <scheme val="minor"/>
    </font>
    <font>
      <sz val="12"/>
      <color rgb="FFFF0000"/>
      <name val="Arial"/>
      <family val="2"/>
    </font>
    <font>
      <b/>
      <sz val="11"/>
      <color theme="0"/>
      <name val="Arial"/>
      <family val="2"/>
      <scheme val="minor"/>
    </font>
    <font>
      <sz val="8"/>
      <name val="Arial"/>
      <family val="2"/>
      <scheme val="minor"/>
    </font>
    <font>
      <sz val="28"/>
      <color theme="0"/>
      <name val="Arial"/>
      <family val="2"/>
      <scheme val="major"/>
    </font>
    <font>
      <sz val="11"/>
      <color theme="0"/>
      <name val="Arial"/>
      <family val="2"/>
      <scheme val="major"/>
    </font>
    <font>
      <sz val="11"/>
      <color theme="1"/>
      <name val="Arial"/>
      <family val="2"/>
      <scheme val="major"/>
    </font>
    <font>
      <b/>
      <sz val="20"/>
      <color rgb="FFFF0000"/>
      <name val="Arial"/>
      <family val="2"/>
      <scheme val="major"/>
    </font>
    <font>
      <sz val="11"/>
      <color rgb="FF000000"/>
      <name val="Arial"/>
      <family val="2"/>
      <scheme val="major"/>
    </font>
    <font>
      <b/>
      <sz val="11"/>
      <color theme="1"/>
      <name val="Arial"/>
      <family val="2"/>
      <scheme val="major"/>
    </font>
    <font>
      <b/>
      <sz val="11"/>
      <color theme="0"/>
      <name val="Arial"/>
      <family val="2"/>
      <scheme val="major"/>
    </font>
    <font>
      <vertAlign val="superscript"/>
      <sz val="10"/>
      <color theme="1"/>
      <name val="Arial"/>
      <family val="2"/>
    </font>
    <font>
      <u/>
      <sz val="10"/>
      <color theme="1"/>
      <name val="Arial"/>
      <family val="2"/>
    </font>
    <font>
      <i/>
      <sz val="10"/>
      <color theme="1"/>
      <name val="Arial"/>
      <family val="2"/>
      <scheme val="minor"/>
    </font>
    <font>
      <sz val="11"/>
      <color rgb="FFFF0000"/>
      <name val="Arial"/>
      <family val="2"/>
    </font>
    <font>
      <b/>
      <sz val="11"/>
      <color rgb="FFFF0000"/>
      <name val="Arial"/>
      <family val="2"/>
    </font>
  </fonts>
  <fills count="18">
    <fill>
      <patternFill patternType="none"/>
    </fill>
    <fill>
      <patternFill patternType="gray125"/>
    </fill>
    <fill>
      <patternFill patternType="solid">
        <fgColor rgb="FFFFFF00"/>
        <bgColor indexed="64"/>
      </patternFill>
    </fill>
    <fill>
      <patternFill patternType="solid">
        <fgColor theme="2" tint="-4.9989318521683403E-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C99"/>
        <bgColor indexed="64"/>
      </patternFill>
    </fill>
    <fill>
      <patternFill patternType="solid">
        <fgColor rgb="FFC6EFCE"/>
      </patternFill>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
      <patternFill patternType="solid">
        <fgColor rgb="FF00B0F0"/>
        <bgColor indexed="64"/>
      </patternFill>
    </fill>
    <fill>
      <patternFill patternType="solid">
        <fgColor theme="1"/>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thin">
        <color theme="4" tint="0.39994506668294322"/>
      </bottom>
      <diagonal/>
    </border>
    <border>
      <left style="thin">
        <color indexed="64"/>
      </left>
      <right/>
      <top style="thin">
        <color indexed="64"/>
      </top>
      <bottom style="thin">
        <color indexed="64"/>
      </bottom>
      <diagonal/>
    </border>
    <border>
      <left/>
      <right style="thin">
        <color theme="4" tint="0.39994506668294322"/>
      </right>
      <top/>
      <bottom style="thin">
        <color theme="4" tint="0.39994506668294322"/>
      </bottom>
      <diagonal/>
    </border>
    <border>
      <left/>
      <right style="thin">
        <color indexed="64"/>
      </right>
      <top style="thin">
        <color indexed="64"/>
      </top>
      <bottom style="thin">
        <color indexed="64"/>
      </bottom>
      <diagonal/>
    </border>
    <border>
      <left style="thin">
        <color theme="4" tint="0.39994506668294322"/>
      </left>
      <right/>
      <top/>
      <bottom/>
      <diagonal/>
    </border>
    <border>
      <left style="thin">
        <color theme="4" tint="0.39991454817346722"/>
      </left>
      <right/>
      <top style="thin">
        <color theme="4" tint="0.39991454817346722"/>
      </top>
      <bottom/>
      <diagonal/>
    </border>
    <border>
      <left/>
      <right style="thin">
        <color theme="4" tint="0.39991454817346722"/>
      </right>
      <top style="thin">
        <color theme="4" tint="0.39991454817346722"/>
      </top>
      <bottom/>
      <diagonal/>
    </border>
    <border>
      <left style="thin">
        <color theme="4" tint="0.39991454817346722"/>
      </left>
      <right/>
      <top/>
      <bottom/>
      <diagonal/>
    </border>
    <border>
      <left/>
      <right style="thin">
        <color theme="4" tint="0.39991454817346722"/>
      </right>
      <top/>
      <bottom/>
      <diagonal/>
    </border>
    <border>
      <left style="thin">
        <color theme="4" tint="0.39991454817346722"/>
      </left>
      <right/>
      <top/>
      <bottom style="thin">
        <color theme="4" tint="0.39991454817346722"/>
      </bottom>
      <diagonal/>
    </border>
    <border>
      <left/>
      <right style="thin">
        <color theme="4" tint="0.39991454817346722"/>
      </right>
      <top/>
      <bottom style="thin">
        <color theme="4" tint="0.39991454817346722"/>
      </bottom>
      <diagonal/>
    </border>
    <border>
      <left style="thin">
        <color indexed="64"/>
      </left>
      <right style="thin">
        <color theme="4" tint="0.39994506668294322"/>
      </right>
      <top style="thin">
        <color theme="4" tint="0.39994506668294322"/>
      </top>
      <bottom style="thin">
        <color theme="4" tint="0.39994506668294322"/>
      </bottom>
      <diagonal/>
    </border>
    <border>
      <left/>
      <right style="thin">
        <color theme="4" tint="0.39991454817346722"/>
      </right>
      <top style="thin">
        <color theme="4" tint="0.39991454817346722"/>
      </top>
      <bottom style="thin">
        <color theme="4" tint="0.39991454817346722"/>
      </bottom>
      <diagonal/>
    </border>
    <border>
      <left style="thin">
        <color theme="4" tint="0.39988402966399123"/>
      </left>
      <right style="thin">
        <color theme="4" tint="0.39991454817346722"/>
      </right>
      <top style="thin">
        <color theme="4" tint="0.39991454817346722"/>
      </top>
      <bottom style="thin">
        <color theme="4" tint="0.39991454817346722"/>
      </bottom>
      <diagonal/>
    </border>
    <border>
      <left/>
      <right style="thin">
        <color theme="4" tint="0.39994506668294322"/>
      </right>
      <top style="thin">
        <color theme="4" tint="0.39994506668294322"/>
      </top>
      <bottom style="thin">
        <color indexed="64"/>
      </bottom>
      <diagonal/>
    </border>
    <border>
      <left/>
      <right/>
      <top style="thin">
        <color theme="4" tint="0.39994506668294322"/>
      </top>
      <bottom style="thin">
        <color indexed="64"/>
      </bottom>
      <diagonal/>
    </border>
    <border>
      <left style="thin">
        <color indexed="64"/>
      </left>
      <right style="thin">
        <color theme="4" tint="0.39991454817346722"/>
      </right>
      <top/>
      <bottom/>
      <diagonal/>
    </border>
    <border>
      <left style="thin">
        <color theme="4" tint="0.39991454817346722"/>
      </left>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right style="thin">
        <color indexed="64"/>
      </right>
      <top style="thin">
        <color theme="4" tint="0.39994506668294322"/>
      </top>
      <bottom style="thin">
        <color indexed="64"/>
      </bottom>
      <diagonal/>
    </border>
    <border>
      <left/>
      <right style="medium">
        <color indexed="64"/>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thick">
        <color indexed="64"/>
      </right>
      <top style="medium">
        <color theme="0"/>
      </top>
      <bottom style="medium">
        <color theme="0"/>
      </bottom>
      <diagonal/>
    </border>
    <border>
      <left/>
      <right/>
      <top/>
      <bottom style="thick">
        <color indexed="64"/>
      </bottom>
      <diagonal/>
    </border>
    <border>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thick">
        <color indexed="64"/>
      </right>
      <top style="medium">
        <color theme="0"/>
      </top>
      <bottom style="medium">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indexed="64"/>
      </right>
      <top style="medium">
        <color indexed="64"/>
      </top>
      <bottom style="thin">
        <color theme="0" tint="-0.499984740745262"/>
      </bottom>
      <diagonal/>
    </border>
    <border>
      <left/>
      <right style="medium">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indexed="64"/>
      </right>
      <top style="thin">
        <color theme="0" tint="-0.499984740745262"/>
      </top>
      <bottom style="thin">
        <color theme="0" tint="-0.499984740745262"/>
      </bottom>
      <diagonal/>
    </border>
    <border>
      <left style="thin">
        <color indexed="64"/>
      </left>
      <right/>
      <top style="thin">
        <color indexed="64"/>
      </top>
      <bottom style="thick">
        <color indexed="64"/>
      </bottom>
      <diagonal/>
    </border>
    <border>
      <left/>
      <right style="medium">
        <color indexed="64"/>
      </right>
      <top style="thin">
        <color theme="0" tint="-0.499984740745262"/>
      </top>
      <bottom style="thick">
        <color indexed="64"/>
      </bottom>
      <diagonal/>
    </border>
    <border>
      <left/>
      <right style="thin">
        <color theme="0" tint="-0.499984740745262"/>
      </right>
      <top style="thin">
        <color theme="0" tint="-0.499984740745262"/>
      </top>
      <bottom style="thick">
        <color indexed="64"/>
      </bottom>
      <diagonal/>
    </border>
    <border>
      <left style="thin">
        <color theme="0" tint="-0.499984740745262"/>
      </left>
      <right style="thin">
        <color theme="0" tint="-0.499984740745262"/>
      </right>
      <top style="thin">
        <color theme="0" tint="-0.499984740745262"/>
      </top>
      <bottom style="thick">
        <color indexed="64"/>
      </bottom>
      <diagonal/>
    </border>
    <border>
      <left style="thin">
        <color theme="0" tint="-0.499984740745262"/>
      </left>
      <right style="thick">
        <color indexed="64"/>
      </right>
      <top style="thin">
        <color theme="0" tint="-0.499984740745262"/>
      </top>
      <bottom style="thick">
        <color indexed="64"/>
      </bottom>
      <diagonal/>
    </border>
    <border>
      <left/>
      <right style="medium">
        <color indexed="64"/>
      </right>
      <top/>
      <bottom style="thin">
        <color theme="0" tint="-0.499984740745262"/>
      </bottom>
      <diagonal/>
    </border>
    <border>
      <left style="thin">
        <color theme="0" tint="-0.499984740745262"/>
      </left>
      <right style="thick">
        <color indexed="64"/>
      </right>
      <top/>
      <bottom style="thin">
        <color theme="0" tint="-0.499984740745262"/>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11" borderId="0" applyNumberFormat="0" applyBorder="0" applyAlignment="0" applyProtection="0"/>
    <xf numFmtId="0" fontId="2" fillId="0" borderId="0"/>
    <xf numFmtId="0" fontId="35" fillId="0" borderId="0" applyNumberFormat="0" applyFill="0" applyBorder="0" applyAlignment="0" applyProtection="0"/>
  </cellStyleXfs>
  <cellXfs count="420">
    <xf numFmtId="0" fontId="0" fillId="0" borderId="0" xfId="0"/>
    <xf numFmtId="0" fontId="2"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horizontal="left" vertical="center" indent="1"/>
    </xf>
    <xf numFmtId="165" fontId="9" fillId="0" borderId="8" xfId="0" applyNumberFormat="1" applyFont="1" applyBorder="1" applyAlignment="1">
      <alignment vertical="center"/>
    </xf>
    <xf numFmtId="0" fontId="23" fillId="0" borderId="0" xfId="4" applyFont="1" applyAlignment="1">
      <alignment vertical="center"/>
    </xf>
    <xf numFmtId="0" fontId="23" fillId="12" borderId="0" xfId="4" applyFont="1" applyFill="1" applyAlignment="1">
      <alignment horizontal="left" vertical="center" wrapText="1"/>
    </xf>
    <xf numFmtId="0" fontId="24" fillId="0" borderId="0" xfId="4" applyFont="1" applyAlignment="1">
      <alignment vertical="center"/>
    </xf>
    <xf numFmtId="0" fontId="23" fillId="0" borderId="0" xfId="4" applyFont="1" applyAlignment="1">
      <alignment horizontal="left" vertical="center"/>
    </xf>
    <xf numFmtId="14" fontId="23" fillId="0" borderId="0" xfId="4" applyNumberFormat="1" applyFont="1" applyAlignment="1">
      <alignment horizontal="left" vertical="center"/>
    </xf>
    <xf numFmtId="0" fontId="25" fillId="0" borderId="0" xfId="4" applyFont="1" applyAlignment="1">
      <alignment horizontal="left" vertical="center" wrapText="1"/>
    </xf>
    <xf numFmtId="0" fontId="24" fillId="0" borderId="0" xfId="4" applyFont="1" applyAlignment="1">
      <alignment horizontal="left" vertical="center" wrapText="1"/>
    </xf>
    <xf numFmtId="0" fontId="24" fillId="0" borderId="0" xfId="4" applyFont="1" applyAlignment="1">
      <alignment vertical="center" wrapText="1"/>
    </xf>
    <xf numFmtId="0" fontId="49" fillId="0" borderId="0" xfId="0" applyFont="1"/>
    <xf numFmtId="0" fontId="50" fillId="0" borderId="0" xfId="0" applyFont="1" applyAlignment="1">
      <alignment vertical="center"/>
    </xf>
    <xf numFmtId="0" fontId="40" fillId="16" borderId="0" xfId="0" applyFont="1" applyFill="1" applyAlignment="1" applyProtection="1">
      <alignment horizontal="left" vertical="center"/>
      <protection hidden="1"/>
    </xf>
    <xf numFmtId="0" fontId="41" fillId="16" borderId="0" xfId="0" applyFont="1" applyFill="1" applyAlignment="1" applyProtection="1">
      <alignment horizontal="center"/>
      <protection hidden="1"/>
    </xf>
    <xf numFmtId="0" fontId="41" fillId="16" borderId="0" xfId="0" applyFont="1" applyFill="1" applyAlignment="1" applyProtection="1">
      <alignment horizontal="left"/>
      <protection hidden="1"/>
    </xf>
    <xf numFmtId="0" fontId="42" fillId="16" borderId="0" xfId="0" applyFont="1" applyFill="1" applyProtection="1">
      <protection hidden="1"/>
    </xf>
    <xf numFmtId="0" fontId="42" fillId="0" borderId="0" xfId="0" applyFont="1" applyProtection="1">
      <protection hidden="1"/>
    </xf>
    <xf numFmtId="0" fontId="41" fillId="16" borderId="0" xfId="0" applyFont="1" applyFill="1" applyAlignment="1" applyProtection="1">
      <alignment horizontal="right" vertical="center"/>
      <protection hidden="1"/>
    </xf>
    <xf numFmtId="0" fontId="41" fillId="16" borderId="0" xfId="0" applyFont="1" applyFill="1" applyAlignment="1" applyProtection="1">
      <alignment horizontal="left" vertical="center" indent="1"/>
      <protection hidden="1"/>
    </xf>
    <xf numFmtId="0" fontId="43" fillId="16" borderId="0" xfId="0" applyFont="1" applyFill="1" applyAlignment="1" applyProtection="1">
      <alignment horizontal="left"/>
      <protection hidden="1"/>
    </xf>
    <xf numFmtId="0" fontId="44" fillId="0" borderId="0" xfId="0" applyFont="1" applyAlignment="1" applyProtection="1">
      <alignment horizontal="left" vertical="center"/>
      <protection hidden="1"/>
    </xf>
    <xf numFmtId="0" fontId="45" fillId="0" borderId="0" xfId="0" applyFont="1" applyAlignment="1" applyProtection="1">
      <alignment horizontal="center"/>
      <protection hidden="1"/>
    </xf>
    <xf numFmtId="0" fontId="42" fillId="0" borderId="0" xfId="0" applyFont="1" applyAlignment="1" applyProtection="1">
      <alignment horizontal="left"/>
      <protection hidden="1"/>
    </xf>
    <xf numFmtId="0" fontId="46" fillId="16" borderId="0" xfId="0" applyFont="1" applyFill="1" applyAlignment="1" applyProtection="1">
      <alignment vertical="center"/>
      <protection hidden="1"/>
    </xf>
    <xf numFmtId="0" fontId="41" fillId="16" borderId="0" xfId="0" applyFont="1" applyFill="1" applyProtection="1">
      <protection hidden="1"/>
    </xf>
    <xf numFmtId="0" fontId="41" fillId="16" borderId="35" xfId="0" applyFont="1" applyFill="1" applyBorder="1" applyAlignment="1" applyProtection="1">
      <alignment horizontal="left" vertical="center" wrapText="1"/>
      <protection hidden="1"/>
    </xf>
    <xf numFmtId="0" fontId="41" fillId="16" borderId="36" xfId="0" applyFont="1" applyFill="1" applyBorder="1" applyAlignment="1" applyProtection="1">
      <alignment horizontal="left" vertical="center" wrapText="1"/>
      <protection hidden="1"/>
    </xf>
    <xf numFmtId="0" fontId="41" fillId="16" borderId="37" xfId="0" applyFont="1" applyFill="1" applyBorder="1" applyAlignment="1" applyProtection="1">
      <alignment horizontal="left" vertical="center" wrapText="1"/>
      <protection hidden="1"/>
    </xf>
    <xf numFmtId="0" fontId="42" fillId="0" borderId="0" xfId="0" applyFont="1" applyAlignment="1" applyProtection="1">
      <alignment wrapText="1"/>
      <protection hidden="1"/>
    </xf>
    <xf numFmtId="0" fontId="46" fillId="16" borderId="39" xfId="0" applyFont="1" applyFill="1" applyBorder="1" applyAlignment="1" applyProtection="1">
      <alignment horizontal="center" vertical="center" wrapText="1"/>
      <protection hidden="1"/>
    </xf>
    <xf numFmtId="0" fontId="46" fillId="16" borderId="40" xfId="0" applyFont="1" applyFill="1" applyBorder="1" applyAlignment="1" applyProtection="1">
      <alignment horizontal="center" vertical="center" wrapText="1"/>
      <protection hidden="1"/>
    </xf>
    <xf numFmtId="0" fontId="46" fillId="16" borderId="41" xfId="0" applyFont="1" applyFill="1" applyBorder="1" applyAlignment="1" applyProtection="1">
      <alignment horizontal="center" vertical="center" wrapText="1"/>
      <protection hidden="1"/>
    </xf>
    <xf numFmtId="0" fontId="42" fillId="0" borderId="0" xfId="0" applyFont="1" applyAlignment="1" applyProtection="1">
      <alignment vertical="center"/>
      <protection hidden="1"/>
    </xf>
    <xf numFmtId="0" fontId="0" fillId="0" borderId="43" xfId="0" applyBorder="1" applyAlignment="1" applyProtection="1">
      <alignment horizontal="center" vertical="center"/>
      <protection hidden="1"/>
    </xf>
    <xf numFmtId="0" fontId="0" fillId="17" borderId="44" xfId="0" applyFill="1" applyBorder="1" applyAlignment="1" applyProtection="1">
      <alignment horizontal="center" vertical="center"/>
      <protection hidden="1"/>
    </xf>
    <xf numFmtId="0" fontId="0" fillId="17" borderId="45" xfId="0" applyFill="1" applyBorder="1" applyAlignment="1" applyProtection="1">
      <alignment horizontal="center" vertical="center"/>
      <protection hidden="1"/>
    </xf>
    <xf numFmtId="0" fontId="0" fillId="17" borderId="46" xfId="0" applyFill="1" applyBorder="1" applyAlignment="1" applyProtection="1">
      <alignment horizontal="center" vertical="center"/>
      <protection hidden="1"/>
    </xf>
    <xf numFmtId="0" fontId="0" fillId="0" borderId="47" xfId="0" applyBorder="1" applyAlignment="1" applyProtection="1">
      <alignment horizontal="center" vertical="center"/>
      <protection hidden="1"/>
    </xf>
    <xf numFmtId="0" fontId="0" fillId="17" borderId="48" xfId="0" applyFill="1" applyBorder="1" applyAlignment="1" applyProtection="1">
      <alignment horizontal="center" vertical="center"/>
      <protection hidden="1"/>
    </xf>
    <xf numFmtId="0" fontId="0" fillId="17" borderId="49" xfId="0" applyFill="1" applyBorder="1" applyAlignment="1" applyProtection="1">
      <alignment horizontal="center" vertical="center"/>
      <protection hidden="1"/>
    </xf>
    <xf numFmtId="0" fontId="0" fillId="17" borderId="50" xfId="0" applyFill="1"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17" borderId="53" xfId="0" applyFill="1" applyBorder="1" applyAlignment="1" applyProtection="1">
      <alignment horizontal="center" vertical="center"/>
      <protection hidden="1"/>
    </xf>
    <xf numFmtId="0" fontId="0" fillId="17" borderId="54" xfId="0" applyFill="1" applyBorder="1" applyAlignment="1" applyProtection="1">
      <alignment horizontal="center" vertical="center"/>
      <protection hidden="1"/>
    </xf>
    <xf numFmtId="0" fontId="0" fillId="17" borderId="55" xfId="0" applyFill="1"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57" xfId="0"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6" xfId="0" applyBorder="1" applyAlignment="1" applyProtection="1">
      <alignment horizontal="left" vertical="center" wrapText="1"/>
      <protection hidden="1"/>
    </xf>
    <xf numFmtId="2" fontId="0" fillId="17" borderId="44" xfId="0" applyNumberFormat="1" applyFill="1" applyBorder="1" applyAlignment="1" applyProtection="1">
      <alignment horizontal="center" vertical="center"/>
      <protection hidden="1"/>
    </xf>
    <xf numFmtId="0" fontId="0" fillId="0" borderId="47" xfId="0" applyBorder="1" applyAlignment="1" applyProtection="1">
      <alignment horizontal="left" vertical="center" wrapText="1"/>
      <protection hidden="1"/>
    </xf>
    <xf numFmtId="2" fontId="0" fillId="17" borderId="48" xfId="0" applyNumberFormat="1" applyFill="1" applyBorder="1" applyAlignment="1" applyProtection="1">
      <alignment horizontal="center" vertical="center"/>
      <protection hidden="1"/>
    </xf>
    <xf numFmtId="0" fontId="42" fillId="0" borderId="0" xfId="0" applyFont="1" applyAlignment="1" applyProtection="1">
      <alignment horizontal="center"/>
      <protection hidden="1"/>
    </xf>
    <xf numFmtId="0" fontId="42" fillId="0" borderId="60" xfId="0" applyFont="1" applyBorder="1" applyProtection="1">
      <protection hidden="1"/>
    </xf>
    <xf numFmtId="0" fontId="42" fillId="0" borderId="61" xfId="0" applyFont="1" applyBorder="1" applyAlignment="1" applyProtection="1">
      <alignment horizontal="center"/>
      <protection hidden="1"/>
    </xf>
    <xf numFmtId="0" fontId="42" fillId="0" borderId="61" xfId="0" applyFont="1" applyBorder="1" applyProtection="1">
      <protection hidden="1"/>
    </xf>
    <xf numFmtId="0" fontId="42" fillId="0" borderId="64" xfId="0" applyFont="1" applyBorder="1" applyProtection="1">
      <protection hidden="1"/>
    </xf>
    <xf numFmtId="0" fontId="42" fillId="0" borderId="62" xfId="0" applyFont="1" applyBorder="1" applyProtection="1">
      <protection hidden="1"/>
    </xf>
    <xf numFmtId="0" fontId="42" fillId="0" borderId="63" xfId="0" applyFont="1" applyBorder="1" applyAlignment="1" applyProtection="1">
      <alignment horizontal="center"/>
      <protection hidden="1"/>
    </xf>
    <xf numFmtId="0" fontId="42" fillId="0" borderId="63" xfId="0" applyFont="1" applyBorder="1" applyProtection="1">
      <protection hidden="1"/>
    </xf>
    <xf numFmtId="0" fontId="42" fillId="0" borderId="65" xfId="0" applyFont="1" applyBorder="1" applyProtection="1">
      <protection hidden="1"/>
    </xf>
    <xf numFmtId="0" fontId="45" fillId="0" borderId="38" xfId="0" applyFont="1" applyBorder="1" applyProtection="1">
      <protection hidden="1"/>
    </xf>
    <xf numFmtId="0" fontId="38" fillId="16" borderId="52" xfId="0" applyFont="1" applyFill="1" applyBorder="1" applyAlignment="1" applyProtection="1">
      <alignment horizontal="center" vertical="center"/>
      <protection hidden="1"/>
    </xf>
    <xf numFmtId="0" fontId="38" fillId="16" borderId="53" xfId="0" applyFont="1" applyFill="1" applyBorder="1" applyAlignment="1" applyProtection="1">
      <alignment horizontal="center" vertical="center"/>
      <protection hidden="1"/>
    </xf>
    <xf numFmtId="165" fontId="9" fillId="2" borderId="11" xfId="0" applyNumberFormat="1" applyFont="1" applyFill="1" applyBorder="1" applyAlignment="1" applyProtection="1">
      <alignment vertical="center"/>
      <protection locked="0"/>
    </xf>
    <xf numFmtId="9" fontId="9" fillId="2" borderId="11" xfId="2" applyFont="1" applyFill="1" applyBorder="1" applyAlignment="1" applyProtection="1">
      <alignment vertical="center"/>
      <protection locked="0"/>
    </xf>
    <xf numFmtId="0" fontId="19" fillId="0" borderId="0" xfId="0" applyFont="1" applyAlignment="1">
      <alignment vertical="center"/>
    </xf>
    <xf numFmtId="0" fontId="13" fillId="0" borderId="0" xfId="0" applyFont="1" applyAlignment="1">
      <alignment vertical="center"/>
    </xf>
    <xf numFmtId="14" fontId="2" fillId="0" borderId="0" xfId="0" applyNumberFormat="1" applyFont="1" applyAlignment="1">
      <alignment vertical="center"/>
    </xf>
    <xf numFmtId="0" fontId="11" fillId="15" borderId="1" xfId="0" applyFont="1" applyFill="1" applyBorder="1" applyAlignment="1">
      <alignment vertical="center"/>
    </xf>
    <xf numFmtId="165" fontId="11" fillId="15" borderId="1" xfId="0" applyNumberFormat="1" applyFont="1" applyFill="1" applyBorder="1" applyAlignment="1">
      <alignment horizontal="center" vertical="center"/>
    </xf>
    <xf numFmtId="165" fontId="11" fillId="15" borderId="1" xfId="0" applyNumberFormat="1" applyFont="1" applyFill="1" applyBorder="1" applyAlignment="1">
      <alignment horizontal="center" vertical="center" wrapText="1"/>
    </xf>
    <xf numFmtId="0" fontId="11" fillId="0" borderId="1" xfId="0" applyFont="1" applyBorder="1" applyAlignment="1">
      <alignment vertical="center"/>
    </xf>
    <xf numFmtId="169" fontId="9" fillId="17" borderId="11" xfId="0" applyNumberFormat="1" applyFont="1" applyFill="1" applyBorder="1" applyAlignment="1">
      <alignment vertical="center"/>
    </xf>
    <xf numFmtId="169" fontId="9" fillId="17" borderId="11" xfId="0" applyNumberFormat="1" applyFont="1" applyFill="1" applyBorder="1" applyAlignment="1">
      <alignment horizontal="center" vertical="center"/>
    </xf>
    <xf numFmtId="165" fontId="2" fillId="0" borderId="0" xfId="0" applyNumberFormat="1" applyFont="1" applyAlignment="1">
      <alignment vertical="center"/>
    </xf>
    <xf numFmtId="169" fontId="9" fillId="17" borderId="11" xfId="0" applyNumberFormat="1" applyFont="1" applyFill="1" applyBorder="1" applyAlignment="1">
      <alignment horizontal="right" vertical="center"/>
    </xf>
    <xf numFmtId="0" fontId="23" fillId="0" borderId="0" xfId="0" applyFont="1" applyAlignment="1">
      <alignment vertical="center"/>
    </xf>
    <xf numFmtId="0" fontId="11" fillId="4" borderId="0" xfId="0" applyFont="1" applyFill="1" applyAlignment="1">
      <alignment vertical="center"/>
    </xf>
    <xf numFmtId="0" fontId="11" fillId="8" borderId="0" xfId="0" applyFont="1" applyFill="1" applyAlignment="1">
      <alignment vertical="center"/>
    </xf>
    <xf numFmtId="0" fontId="9" fillId="8" borderId="0" xfId="0" applyFont="1" applyFill="1" applyAlignment="1">
      <alignment vertical="center"/>
    </xf>
    <xf numFmtId="0" fontId="14" fillId="0" borderId="0" xfId="0" applyFont="1" applyAlignment="1">
      <alignment vertical="center"/>
    </xf>
    <xf numFmtId="0" fontId="15" fillId="0" borderId="0" xfId="0" applyFont="1" applyAlignment="1">
      <alignment vertical="center"/>
    </xf>
    <xf numFmtId="0" fontId="11" fillId="0" borderId="1" xfId="0" applyFont="1" applyBorder="1" applyAlignment="1">
      <alignment vertical="center" wrapText="1"/>
    </xf>
    <xf numFmtId="169" fontId="9" fillId="0" borderId="0" xfId="0" applyNumberFormat="1" applyFont="1" applyAlignment="1">
      <alignment vertical="center"/>
    </xf>
    <xf numFmtId="0" fontId="11" fillId="0" borderId="1" xfId="0" applyFont="1" applyBorder="1" applyAlignment="1">
      <alignment horizontal="right" vertical="center" wrapText="1"/>
    </xf>
    <xf numFmtId="0" fontId="14" fillId="0" borderId="1" xfId="0" applyFont="1" applyBorder="1" applyAlignment="1">
      <alignment vertical="center" wrapText="1"/>
    </xf>
    <xf numFmtId="0" fontId="14" fillId="0" borderId="1" xfId="0" applyFont="1" applyBorder="1" applyAlignment="1">
      <alignment vertical="center"/>
    </xf>
    <xf numFmtId="0" fontId="10" fillId="0" borderId="1" xfId="0" applyFont="1" applyBorder="1" applyAlignment="1">
      <alignment vertical="center" wrapText="1"/>
    </xf>
    <xf numFmtId="0" fontId="9" fillId="0" borderId="0" xfId="0" applyFont="1" applyAlignment="1">
      <alignment vertical="center" wrapText="1"/>
    </xf>
    <xf numFmtId="165" fontId="9" fillId="17" borderId="11" xfId="0" applyNumberFormat="1" applyFont="1" applyFill="1" applyBorder="1" applyAlignment="1">
      <alignment horizontal="right" vertical="center"/>
    </xf>
    <xf numFmtId="165" fontId="9" fillId="17" borderId="11" xfId="0" applyNumberFormat="1" applyFont="1" applyFill="1" applyBorder="1" applyAlignment="1">
      <alignment vertical="center"/>
    </xf>
    <xf numFmtId="166" fontId="9" fillId="17" borderId="11" xfId="0" applyNumberFormat="1" applyFont="1" applyFill="1" applyBorder="1" applyAlignment="1">
      <alignment vertical="center"/>
    </xf>
    <xf numFmtId="166" fontId="9" fillId="0" borderId="15" xfId="0" applyNumberFormat="1" applyFont="1" applyBorder="1" applyAlignment="1">
      <alignment vertical="center"/>
    </xf>
    <xf numFmtId="166" fontId="9" fillId="0" borderId="3" xfId="0" applyNumberFormat="1" applyFont="1" applyBorder="1" applyAlignment="1">
      <alignment vertical="center"/>
    </xf>
    <xf numFmtId="166" fontId="9" fillId="0" borderId="17" xfId="0" applyNumberFormat="1" applyFont="1" applyBorder="1" applyAlignment="1">
      <alignment vertical="center"/>
    </xf>
    <xf numFmtId="166" fontId="14" fillId="0" borderId="15" xfId="0" applyNumberFormat="1" applyFont="1" applyBorder="1" applyAlignment="1">
      <alignment vertical="center" wrapText="1"/>
    </xf>
    <xf numFmtId="166" fontId="14" fillId="0" borderId="3" xfId="0" applyNumberFormat="1" applyFont="1" applyBorder="1" applyAlignment="1">
      <alignment vertical="center" wrapText="1"/>
    </xf>
    <xf numFmtId="0" fontId="14" fillId="0" borderId="17" xfId="0" applyFont="1" applyBorder="1" applyAlignment="1">
      <alignment vertical="center" wrapText="1"/>
    </xf>
    <xf numFmtId="0" fontId="14" fillId="0" borderId="0" xfId="0" applyFont="1" applyAlignment="1">
      <alignment vertical="center" wrapText="1"/>
    </xf>
    <xf numFmtId="166" fontId="14" fillId="0" borderId="0" xfId="0" applyNumberFormat="1" applyFont="1" applyAlignment="1">
      <alignment vertical="center"/>
    </xf>
    <xf numFmtId="9" fontId="14" fillId="0" borderId="0" xfId="0" applyNumberFormat="1" applyFont="1" applyAlignment="1">
      <alignment vertical="center"/>
    </xf>
    <xf numFmtId="168" fontId="0" fillId="0" borderId="0" xfId="0" applyNumberFormat="1" applyAlignment="1">
      <alignment vertical="center"/>
    </xf>
    <xf numFmtId="0" fontId="16" fillId="0" borderId="0" xfId="0" applyFont="1"/>
    <xf numFmtId="165" fontId="9" fillId="0" borderId="0" xfId="0" applyNumberFormat="1" applyFont="1" applyAlignment="1">
      <alignment vertical="center"/>
    </xf>
    <xf numFmtId="166" fontId="9" fillId="0" borderId="4" xfId="0" applyNumberFormat="1" applyFont="1" applyBorder="1" applyAlignment="1">
      <alignment vertical="center"/>
    </xf>
    <xf numFmtId="165" fontId="9" fillId="0" borderId="5" xfId="0" applyNumberFormat="1" applyFont="1" applyBorder="1" applyAlignment="1">
      <alignment vertical="center"/>
    </xf>
    <xf numFmtId="165" fontId="9" fillId="0" borderId="6" xfId="0" applyNumberFormat="1" applyFont="1" applyBorder="1" applyAlignment="1">
      <alignment vertical="center"/>
    </xf>
    <xf numFmtId="166" fontId="13" fillId="0" borderId="4" xfId="0" applyNumberFormat="1" applyFont="1" applyBorder="1" applyAlignment="1">
      <alignment vertical="center"/>
    </xf>
    <xf numFmtId="166" fontId="13" fillId="0" borderId="5" xfId="0" applyNumberFormat="1" applyFont="1" applyBorder="1" applyAlignment="1">
      <alignment vertical="center"/>
    </xf>
    <xf numFmtId="0" fontId="13" fillId="0" borderId="6" xfId="0" applyFont="1" applyBorder="1" applyAlignment="1">
      <alignment vertical="center"/>
    </xf>
    <xf numFmtId="166" fontId="13" fillId="0" borderId="0" xfId="0" applyNumberFormat="1" applyFont="1" applyAlignment="1">
      <alignment vertical="center"/>
    </xf>
    <xf numFmtId="9" fontId="13" fillId="0" borderId="0" xfId="0" applyNumberFormat="1" applyFont="1" applyAlignment="1">
      <alignment vertical="center"/>
    </xf>
    <xf numFmtId="166" fontId="9" fillId="0" borderId="7" xfId="0" applyNumberFormat="1" applyFont="1" applyBorder="1" applyAlignment="1">
      <alignment vertical="center"/>
    </xf>
    <xf numFmtId="166" fontId="13" fillId="0" borderId="7" xfId="0" applyNumberFormat="1" applyFont="1" applyBorder="1" applyAlignment="1">
      <alignment vertical="center"/>
    </xf>
    <xf numFmtId="0" fontId="13" fillId="0" borderId="8" xfId="0" applyFont="1" applyBorder="1" applyAlignment="1">
      <alignment vertical="center"/>
    </xf>
    <xf numFmtId="0" fontId="13" fillId="0" borderId="7" xfId="0" applyFont="1" applyBorder="1" applyAlignment="1">
      <alignment vertical="center"/>
    </xf>
    <xf numFmtId="165" fontId="13" fillId="0" borderId="7" xfId="0" applyNumberFormat="1" applyFont="1" applyBorder="1" applyAlignment="1">
      <alignment vertical="center"/>
    </xf>
    <xf numFmtId="165" fontId="13" fillId="0" borderId="0" xfId="0" applyNumberFormat="1" applyFont="1" applyAlignment="1">
      <alignment vertical="center"/>
    </xf>
    <xf numFmtId="165" fontId="13" fillId="0" borderId="8" xfId="0" applyNumberFormat="1" applyFont="1" applyBorder="1" applyAlignment="1">
      <alignment vertical="center"/>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13" fillId="0" borderId="0" xfId="0" applyFont="1" applyAlignment="1">
      <alignment horizontal="left" vertical="center" indent="1"/>
    </xf>
    <xf numFmtId="0" fontId="13" fillId="0" borderId="7" xfId="0" applyFont="1" applyBorder="1" applyAlignment="1">
      <alignment horizontal="left" vertical="center" indent="1"/>
    </xf>
    <xf numFmtId="0" fontId="13" fillId="0" borderId="8" xfId="0" applyFont="1" applyBorder="1" applyAlignment="1">
      <alignment horizontal="left" vertical="center" indent="1"/>
    </xf>
    <xf numFmtId="165" fontId="11" fillId="0" borderId="0" xfId="0" applyNumberFormat="1" applyFont="1" applyAlignment="1">
      <alignment vertical="center"/>
    </xf>
    <xf numFmtId="166" fontId="9" fillId="0" borderId="9" xfId="0" applyNumberFormat="1" applyFont="1" applyBorder="1" applyAlignment="1">
      <alignment vertical="center"/>
    </xf>
    <xf numFmtId="165" fontId="9" fillId="0" borderId="2" xfId="0" applyNumberFormat="1" applyFont="1" applyBorder="1" applyAlignment="1">
      <alignment vertical="center"/>
    </xf>
    <xf numFmtId="165" fontId="9" fillId="0" borderId="10" xfId="0" applyNumberFormat="1" applyFont="1" applyBorder="1" applyAlignment="1">
      <alignment vertical="center"/>
    </xf>
    <xf numFmtId="165" fontId="13" fillId="0" borderId="9" xfId="0" applyNumberFormat="1" applyFont="1" applyBorder="1" applyAlignment="1">
      <alignment vertical="center"/>
    </xf>
    <xf numFmtId="165" fontId="13" fillId="0" borderId="2" xfId="0" applyNumberFormat="1" applyFont="1" applyBorder="1" applyAlignment="1">
      <alignment vertical="center"/>
    </xf>
    <xf numFmtId="165" fontId="13" fillId="0" borderId="10" xfId="0" applyNumberFormat="1" applyFont="1" applyBorder="1" applyAlignment="1">
      <alignment vertical="center"/>
    </xf>
    <xf numFmtId="165" fontId="13" fillId="0" borderId="4" xfId="0" applyNumberFormat="1" applyFont="1" applyBorder="1" applyAlignment="1">
      <alignment vertical="center"/>
    </xf>
    <xf numFmtId="165" fontId="13" fillId="0" borderId="5" xfId="0" applyNumberFormat="1" applyFont="1" applyBorder="1" applyAlignment="1">
      <alignment vertical="center"/>
    </xf>
    <xf numFmtId="165" fontId="13" fillId="0" borderId="6" xfId="0" applyNumberFormat="1" applyFont="1" applyBorder="1" applyAlignment="1">
      <alignment vertical="center"/>
    </xf>
    <xf numFmtId="166" fontId="9" fillId="0" borderId="0" xfId="0" applyNumberFormat="1" applyFont="1" applyAlignment="1">
      <alignment vertical="center"/>
    </xf>
    <xf numFmtId="0" fontId="11" fillId="0" borderId="0" xfId="0" applyFont="1" applyAlignment="1">
      <alignment vertical="center" wrapText="1"/>
    </xf>
    <xf numFmtId="169" fontId="9" fillId="3" borderId="11" xfId="0" applyNumberFormat="1" applyFont="1" applyFill="1" applyBorder="1" applyAlignment="1">
      <alignment vertical="center"/>
    </xf>
    <xf numFmtId="165" fontId="9" fillId="0" borderId="4" xfId="0" applyNumberFormat="1" applyFont="1" applyBorder="1" applyAlignment="1">
      <alignment vertical="center"/>
    </xf>
    <xf numFmtId="0" fontId="13" fillId="0" borderId="0" xfId="0" applyFont="1" applyAlignment="1">
      <alignment vertical="center" wrapText="1"/>
    </xf>
    <xf numFmtId="0" fontId="17" fillId="0" borderId="0" xfId="0" quotePrefix="1" applyFont="1" applyAlignment="1">
      <alignment vertical="center"/>
    </xf>
    <xf numFmtId="165" fontId="9" fillId="0" borderId="7" xfId="0" applyNumberFormat="1" applyFont="1" applyBorder="1" applyAlignment="1">
      <alignment vertical="center"/>
    </xf>
    <xf numFmtId="165" fontId="9" fillId="0" borderId="9" xfId="0" applyNumberFormat="1" applyFont="1" applyBorder="1" applyAlignment="1">
      <alignment vertical="center"/>
    </xf>
    <xf numFmtId="0" fontId="13" fillId="0" borderId="10" xfId="0" applyFont="1" applyBorder="1" applyAlignment="1">
      <alignment vertical="center"/>
    </xf>
    <xf numFmtId="166" fontId="13" fillId="13" borderId="0" xfId="0" applyNumberFormat="1" applyFont="1" applyFill="1" applyAlignment="1">
      <alignment vertical="center"/>
    </xf>
    <xf numFmtId="0" fontId="9" fillId="0" borderId="0" xfId="0" applyFont="1" applyAlignment="1">
      <alignment horizontal="center" vertical="center"/>
    </xf>
    <xf numFmtId="165" fontId="11" fillId="0" borderId="1" xfId="0" applyNumberFormat="1" applyFont="1" applyBorder="1" applyAlignment="1">
      <alignment vertical="center"/>
    </xf>
    <xf numFmtId="165" fontId="14" fillId="0" borderId="1" xfId="0" applyNumberFormat="1" applyFont="1" applyBorder="1" applyAlignment="1">
      <alignment vertical="center"/>
    </xf>
    <xf numFmtId="10" fontId="9" fillId="0" borderId="0" xfId="2" applyNumberFormat="1" applyFont="1" applyAlignment="1" applyProtection="1">
      <alignment vertical="center"/>
    </xf>
    <xf numFmtId="0" fontId="11" fillId="0" borderId="0" xfId="0" applyFont="1" applyAlignment="1">
      <alignment horizontal="right" vertical="center" wrapText="1"/>
    </xf>
    <xf numFmtId="0" fontId="14" fillId="3" borderId="0" xfId="0" applyFont="1" applyFill="1" applyAlignment="1">
      <alignment vertical="center"/>
    </xf>
    <xf numFmtId="0" fontId="13" fillId="3" borderId="0" xfId="0" applyFont="1" applyFill="1" applyAlignment="1">
      <alignment vertical="center"/>
    </xf>
    <xf numFmtId="166" fontId="13" fillId="0" borderId="0" xfId="2" applyNumberFormat="1" applyFont="1" applyAlignment="1" applyProtection="1">
      <alignment vertical="center"/>
    </xf>
    <xf numFmtId="0" fontId="14" fillId="0" borderId="1" xfId="0" applyFont="1" applyBorder="1" applyAlignment="1">
      <alignment horizontal="center" vertical="center"/>
    </xf>
    <xf numFmtId="9" fontId="13" fillId="10" borderId="0" xfId="0" applyNumberFormat="1" applyFont="1" applyFill="1" applyAlignment="1">
      <alignment vertical="center"/>
    </xf>
    <xf numFmtId="0" fontId="13" fillId="10" borderId="0" xfId="0" applyFont="1" applyFill="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166" fontId="13" fillId="0" borderId="8" xfId="0" applyNumberFormat="1" applyFont="1" applyBorder="1" applyAlignment="1">
      <alignment vertical="center"/>
    </xf>
    <xf numFmtId="0" fontId="13" fillId="0" borderId="9" xfId="0" applyFont="1" applyBorder="1" applyAlignment="1">
      <alignment vertical="center"/>
    </xf>
    <xf numFmtId="0" fontId="13" fillId="0" borderId="2" xfId="0" applyFont="1" applyBorder="1" applyAlignment="1">
      <alignment vertical="center"/>
    </xf>
    <xf numFmtId="0" fontId="14" fillId="8" borderId="0" xfId="0" applyFont="1" applyFill="1" applyAlignment="1">
      <alignment vertical="center"/>
    </xf>
    <xf numFmtId="0" fontId="13" fillId="8" borderId="0" xfId="0" applyFont="1" applyFill="1" applyAlignment="1">
      <alignment vertical="center"/>
    </xf>
    <xf numFmtId="0" fontId="18" fillId="11" borderId="0" xfId="3" applyFont="1" applyAlignment="1" applyProtection="1">
      <alignment vertical="center"/>
    </xf>
    <xf numFmtId="166" fontId="14" fillId="0" borderId="0" xfId="2" applyNumberFormat="1" applyFont="1" applyAlignment="1" applyProtection="1">
      <alignment vertical="center"/>
    </xf>
    <xf numFmtId="166" fontId="14" fillId="9" borderId="0" xfId="2" applyNumberFormat="1" applyFont="1" applyFill="1" applyAlignment="1" applyProtection="1">
      <alignment vertical="center"/>
    </xf>
    <xf numFmtId="166" fontId="14" fillId="9" borderId="0" xfId="0" applyNumberFormat="1" applyFont="1" applyFill="1" applyAlignment="1">
      <alignment vertical="center"/>
    </xf>
    <xf numFmtId="10" fontId="13" fillId="0" borderId="0" xfId="2" applyNumberFormat="1" applyFont="1" applyAlignment="1" applyProtection="1">
      <alignment vertical="center"/>
    </xf>
    <xf numFmtId="165" fontId="11" fillId="0" borderId="12" xfId="0" applyNumberFormat="1" applyFont="1" applyBorder="1" applyAlignment="1">
      <alignment vertical="center"/>
    </xf>
    <xf numFmtId="0" fontId="13" fillId="0" borderId="0" xfId="0" applyFont="1" applyAlignment="1">
      <alignment horizontal="center" vertical="center"/>
    </xf>
    <xf numFmtId="168" fontId="14" fillId="0" borderId="15" xfId="0" applyNumberFormat="1" applyFont="1" applyBorder="1" applyAlignment="1">
      <alignment vertical="center"/>
    </xf>
    <xf numFmtId="168" fontId="14" fillId="0" borderId="3" xfId="0" applyNumberFormat="1" applyFont="1" applyBorder="1" applyAlignment="1">
      <alignment vertical="center"/>
    </xf>
    <xf numFmtId="168" fontId="14" fillId="0" borderId="17" xfId="0" applyNumberFormat="1" applyFont="1" applyBorder="1" applyAlignment="1">
      <alignment vertical="center"/>
    </xf>
    <xf numFmtId="0" fontId="17" fillId="0" borderId="0" xfId="0" applyFont="1" applyAlignment="1">
      <alignment vertical="center"/>
    </xf>
    <xf numFmtId="167" fontId="13" fillId="0" borderId="0" xfId="0" applyNumberFormat="1" applyFont="1" applyAlignment="1">
      <alignment vertical="center"/>
    </xf>
    <xf numFmtId="0" fontId="9" fillId="2" borderId="11" xfId="0" applyFont="1" applyFill="1" applyBorder="1" applyAlignment="1" applyProtection="1">
      <alignment vertical="center"/>
      <protection locked="0"/>
    </xf>
    <xf numFmtId="165" fontId="9" fillId="2" borderId="16" xfId="0" applyNumberFormat="1" applyFont="1" applyFill="1" applyBorder="1" applyAlignment="1" applyProtection="1">
      <alignment vertical="center"/>
      <protection locked="0"/>
    </xf>
    <xf numFmtId="165" fontId="9" fillId="2" borderId="12" xfId="0" applyNumberFormat="1" applyFont="1" applyFill="1" applyBorder="1" applyAlignment="1" applyProtection="1">
      <alignment vertical="center"/>
      <protection locked="0"/>
    </xf>
    <xf numFmtId="165" fontId="9" fillId="2" borderId="13" xfId="0" applyNumberFormat="1" applyFont="1" applyFill="1" applyBorder="1" applyAlignment="1" applyProtection="1">
      <alignment vertical="center"/>
      <protection locked="0"/>
    </xf>
    <xf numFmtId="165" fontId="9" fillId="2" borderId="14" xfId="0" applyNumberFormat="1" applyFont="1" applyFill="1" applyBorder="1" applyAlignment="1" applyProtection="1">
      <alignment vertical="center"/>
      <protection locked="0"/>
    </xf>
    <xf numFmtId="0" fontId="13" fillId="0" borderId="0" xfId="0" applyFont="1" applyAlignment="1" applyProtection="1">
      <alignment vertical="center"/>
      <protection hidden="1"/>
    </xf>
    <xf numFmtId="0" fontId="14" fillId="8" borderId="4" xfId="0" applyFont="1" applyFill="1" applyBorder="1" applyAlignment="1" applyProtection="1">
      <alignment vertical="center"/>
      <protection hidden="1"/>
    </xf>
    <xf numFmtId="0" fontId="13" fillId="8" borderId="5" xfId="0" applyFont="1" applyFill="1" applyBorder="1" applyAlignment="1" applyProtection="1">
      <alignment vertical="center"/>
      <protection hidden="1"/>
    </xf>
    <xf numFmtId="0" fontId="13" fillId="8" borderId="6" xfId="0" applyFont="1" applyFill="1" applyBorder="1" applyAlignment="1" applyProtection="1">
      <alignment vertical="center"/>
      <protection hidden="1"/>
    </xf>
    <xf numFmtId="0" fontId="13" fillId="0" borderId="7" xfId="0" applyFont="1" applyBorder="1" applyAlignment="1" applyProtection="1">
      <alignment vertical="center"/>
      <protection hidden="1"/>
    </xf>
    <xf numFmtId="0" fontId="13" fillId="0" borderId="8" xfId="0" applyFont="1" applyBorder="1" applyAlignment="1" applyProtection="1">
      <alignment vertical="center"/>
      <protection hidden="1"/>
    </xf>
    <xf numFmtId="0" fontId="14" fillId="0" borderId="7" xfId="0" applyFont="1" applyBorder="1" applyAlignment="1" applyProtection="1">
      <alignment vertical="center"/>
      <protection hidden="1"/>
    </xf>
    <xf numFmtId="0" fontId="14" fillId="0" borderId="0" xfId="0" applyFont="1" applyAlignment="1" applyProtection="1">
      <alignment vertical="center"/>
      <protection hidden="1"/>
    </xf>
    <xf numFmtId="166" fontId="13" fillId="0" borderId="0" xfId="0" applyNumberFormat="1" applyFont="1" applyAlignment="1" applyProtection="1">
      <alignment vertical="center"/>
      <protection hidden="1"/>
    </xf>
    <xf numFmtId="165" fontId="13" fillId="0" borderId="0" xfId="0" applyNumberFormat="1" applyFont="1" applyAlignment="1" applyProtection="1">
      <alignment vertical="center"/>
      <protection hidden="1"/>
    </xf>
    <xf numFmtId="165" fontId="14" fillId="0" borderId="0" xfId="0" applyNumberFormat="1" applyFont="1" applyAlignment="1" applyProtection="1">
      <alignment vertical="center"/>
      <protection hidden="1"/>
    </xf>
    <xf numFmtId="0" fontId="13" fillId="0" borderId="9" xfId="0" applyFont="1" applyBorder="1" applyAlignment="1" applyProtection="1">
      <alignment vertical="center"/>
      <protection hidden="1"/>
    </xf>
    <xf numFmtId="0" fontId="13" fillId="0" borderId="2" xfId="0" applyFont="1" applyBorder="1" applyAlignment="1" applyProtection="1">
      <alignment vertical="center"/>
      <protection hidden="1"/>
    </xf>
    <xf numFmtId="0" fontId="13" fillId="0" borderId="10" xfId="0" applyFont="1" applyBorder="1" applyAlignment="1" applyProtection="1">
      <alignment vertical="center"/>
      <protection hidden="1"/>
    </xf>
    <xf numFmtId="0" fontId="14" fillId="9" borderId="4" xfId="0" applyFont="1" applyFill="1" applyBorder="1" applyAlignment="1" applyProtection="1">
      <alignment vertical="center"/>
      <protection hidden="1"/>
    </xf>
    <xf numFmtId="0" fontId="13" fillId="9" borderId="5" xfId="0" applyFont="1" applyFill="1" applyBorder="1" applyAlignment="1" applyProtection="1">
      <alignment vertical="center"/>
      <protection hidden="1"/>
    </xf>
    <xf numFmtId="0" fontId="13" fillId="0" borderId="5" xfId="0" applyFont="1" applyBorder="1" applyAlignment="1" applyProtection="1">
      <alignment vertical="center"/>
      <protection hidden="1"/>
    </xf>
    <xf numFmtId="0" fontId="13" fillId="0" borderId="6" xfId="0" applyFont="1" applyBorder="1" applyAlignment="1" applyProtection="1">
      <alignment vertical="center"/>
      <protection hidden="1"/>
    </xf>
    <xf numFmtId="0" fontId="14" fillId="0" borderId="1" xfId="0" applyFont="1" applyBorder="1" applyAlignment="1" applyProtection="1">
      <alignment horizontal="right" vertical="center"/>
      <protection hidden="1"/>
    </xf>
    <xf numFmtId="168" fontId="13" fillId="0" borderId="0" xfId="0" applyNumberFormat="1" applyFont="1" applyAlignment="1" applyProtection="1">
      <alignment vertical="center"/>
      <protection hidden="1"/>
    </xf>
    <xf numFmtId="168" fontId="14" fillId="0" borderId="0" xfId="0" applyNumberFormat="1" applyFont="1" applyAlignment="1" applyProtection="1">
      <alignment vertical="center"/>
      <protection hidden="1"/>
    </xf>
    <xf numFmtId="10" fontId="14" fillId="0" borderId="0" xfId="2" applyNumberFormat="1" applyFont="1" applyBorder="1" applyAlignment="1" applyProtection="1">
      <alignment vertical="center"/>
      <protection hidden="1"/>
    </xf>
    <xf numFmtId="10" fontId="13" fillId="0" borderId="0" xfId="2" applyNumberFormat="1" applyFont="1" applyBorder="1" applyAlignment="1" applyProtection="1">
      <alignment vertical="center"/>
      <protection hidden="1"/>
    </xf>
    <xf numFmtId="0" fontId="11" fillId="15" borderId="1" xfId="0" applyFont="1" applyFill="1" applyBorder="1" applyAlignment="1">
      <alignment vertical="center" wrapText="1"/>
    </xf>
    <xf numFmtId="9" fontId="27" fillId="7" borderId="27" xfId="2" applyFont="1" applyFill="1" applyBorder="1" applyAlignment="1" applyProtection="1">
      <alignment horizontal="right" vertical="center" indent="1"/>
      <protection locked="0"/>
    </xf>
    <xf numFmtId="0" fontId="2" fillId="0" borderId="0" xfId="0" applyFont="1" applyAlignment="1" applyProtection="1">
      <alignment vertical="center"/>
      <protection hidden="1"/>
    </xf>
    <xf numFmtId="0" fontId="2" fillId="7" borderId="0" xfId="0" applyFont="1" applyFill="1" applyAlignment="1" applyProtection="1">
      <alignment vertical="center"/>
      <protection locked="0" hidden="1"/>
    </xf>
    <xf numFmtId="165" fontId="2" fillId="13" borderId="0" xfId="0" applyNumberFormat="1" applyFont="1" applyFill="1" applyAlignment="1" applyProtection="1">
      <alignment vertical="center"/>
      <protection locked="0" hidden="1"/>
    </xf>
    <xf numFmtId="0" fontId="2" fillId="13" borderId="0" xfId="0" applyFont="1" applyFill="1" applyAlignment="1" applyProtection="1">
      <alignment vertical="center"/>
      <protection locked="0" hidden="1"/>
    </xf>
    <xf numFmtId="0" fontId="33" fillId="0" borderId="0" xfId="0" applyFont="1" applyAlignment="1">
      <alignment vertical="center"/>
    </xf>
    <xf numFmtId="0" fontId="12" fillId="0" borderId="0" xfId="0" applyFont="1" applyAlignment="1">
      <alignment vertical="center"/>
    </xf>
    <xf numFmtId="0" fontId="9" fillId="0" borderId="0" xfId="0" applyFont="1" applyAlignment="1">
      <alignment horizontal="right" vertical="center"/>
    </xf>
    <xf numFmtId="0" fontId="37" fillId="0" borderId="0" xfId="0" applyFont="1" applyAlignment="1" applyProtection="1">
      <alignment vertical="center"/>
      <protection hidden="1"/>
    </xf>
    <xf numFmtId="0" fontId="0" fillId="0" borderId="0" xfId="0" applyProtection="1">
      <protection hidden="1"/>
    </xf>
    <xf numFmtId="0" fontId="11" fillId="8" borderId="4" xfId="0" applyFont="1" applyFill="1" applyBorder="1" applyAlignment="1">
      <alignment vertical="center"/>
    </xf>
    <xf numFmtId="0" fontId="9" fillId="8" borderId="5" xfId="0" applyFont="1" applyFill="1" applyBorder="1" applyAlignment="1">
      <alignment vertical="center"/>
    </xf>
    <xf numFmtId="0" fontId="9" fillId="8" borderId="6" xfId="0" applyFont="1" applyFill="1" applyBorder="1" applyAlignment="1">
      <alignment vertical="center"/>
    </xf>
    <xf numFmtId="0" fontId="11" fillId="0" borderId="7" xfId="0" applyFont="1" applyBorder="1" applyAlignment="1">
      <alignment vertical="center"/>
    </xf>
    <xf numFmtId="0" fontId="9" fillId="0" borderId="8" xfId="0" applyFont="1" applyBorder="1" applyAlignment="1">
      <alignment vertical="center"/>
    </xf>
    <xf numFmtId="0" fontId="3" fillId="0" borderId="15" xfId="0" applyFont="1" applyBorder="1" applyAlignment="1" applyProtection="1">
      <alignment vertical="center"/>
      <protection hidden="1"/>
    </xf>
    <xf numFmtId="0" fontId="3" fillId="0" borderId="3" xfId="0" applyFont="1" applyBorder="1" applyAlignment="1" applyProtection="1">
      <alignment vertical="center"/>
      <protection hidden="1"/>
    </xf>
    <xf numFmtId="0" fontId="3" fillId="0" borderId="17" xfId="0" applyFont="1" applyBorder="1" applyAlignment="1" applyProtection="1">
      <alignment vertical="center"/>
      <protection hidden="1"/>
    </xf>
    <xf numFmtId="0" fontId="10" fillId="0" borderId="7" xfId="0" applyFont="1" applyBorder="1" applyAlignment="1">
      <alignment horizontal="left" vertical="center" indent="1"/>
    </xf>
    <xf numFmtId="0" fontId="51" fillId="0" borderId="0" xfId="0" applyFont="1" applyAlignment="1">
      <alignment vertical="center"/>
    </xf>
    <xf numFmtId="0" fontId="3" fillId="0" borderId="0" xfId="0" applyFont="1" applyAlignment="1" applyProtection="1">
      <alignment vertical="center"/>
      <protection hidden="1"/>
    </xf>
    <xf numFmtId="0" fontId="27" fillId="0" borderId="0" xfId="0" applyFont="1" applyAlignment="1">
      <alignment vertical="center"/>
    </xf>
    <xf numFmtId="0" fontId="0" fillId="5" borderId="0" xfId="0" applyFill="1" applyProtection="1">
      <protection hidden="1"/>
    </xf>
    <xf numFmtId="0" fontId="2" fillId="0" borderId="4" xfId="0" applyFont="1" applyBorder="1" applyAlignment="1" applyProtection="1">
      <alignment vertical="center"/>
      <protection hidden="1"/>
    </xf>
    <xf numFmtId="0" fontId="2" fillId="0" borderId="5"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7" fillId="0" borderId="7" xfId="0" applyFont="1" applyBorder="1" applyAlignment="1">
      <alignment horizontal="left" vertical="center" indent="1"/>
    </xf>
    <xf numFmtId="0" fontId="27" fillId="0" borderId="0" xfId="0" applyFont="1" applyAlignment="1">
      <alignment horizontal="left" vertical="center" indent="1"/>
    </xf>
    <xf numFmtId="0" fontId="3" fillId="0" borderId="5" xfId="0" applyFont="1" applyBorder="1" applyAlignment="1" applyProtection="1">
      <alignment horizontal="right" vertical="center"/>
      <protection hidden="1"/>
    </xf>
    <xf numFmtId="0" fontId="2" fillId="3" borderId="0" xfId="0" applyFont="1" applyFill="1" applyAlignment="1" applyProtection="1">
      <alignment vertical="center"/>
      <protection hidden="1"/>
    </xf>
    <xf numFmtId="0" fontId="2" fillId="3" borderId="8" xfId="0" applyFont="1" applyFill="1" applyBorder="1" applyAlignment="1" applyProtection="1">
      <alignment vertical="center"/>
      <protection hidden="1"/>
    </xf>
    <xf numFmtId="0" fontId="10" fillId="0" borderId="0" xfId="0" applyFont="1" applyAlignment="1">
      <alignment vertical="center"/>
    </xf>
    <xf numFmtId="0" fontId="10" fillId="0" borderId="30" xfId="0" applyFont="1" applyBorder="1" applyAlignment="1">
      <alignment horizontal="left" vertical="center" indent="1"/>
    </xf>
    <xf numFmtId="0" fontId="2" fillId="0" borderId="7"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10" xfId="0" applyFont="1" applyBorder="1" applyAlignment="1" applyProtection="1">
      <alignment vertical="center"/>
      <protection hidden="1"/>
    </xf>
    <xf numFmtId="0" fontId="34" fillId="0" borderId="0" xfId="0" applyFont="1" applyAlignment="1">
      <alignment horizontal="left" vertical="center" indent="1"/>
    </xf>
    <xf numFmtId="0" fontId="3" fillId="0" borderId="7" xfId="0" applyFont="1" applyBorder="1" applyAlignment="1" applyProtection="1">
      <alignment vertical="center"/>
      <protection hidden="1"/>
    </xf>
    <xf numFmtId="0" fontId="9" fillId="0" borderId="7" xfId="0" applyFont="1" applyBorder="1" applyAlignment="1">
      <alignment vertical="center"/>
    </xf>
    <xf numFmtId="0" fontId="3" fillId="0" borderId="0" xfId="0" applyFont="1" applyAlignment="1" applyProtection="1">
      <alignment horizontal="right" vertical="center"/>
      <protection hidden="1"/>
    </xf>
    <xf numFmtId="0" fontId="3" fillId="0" borderId="4" xfId="0" applyFont="1" applyBorder="1" applyAlignment="1" applyProtection="1">
      <alignment vertical="center"/>
      <protection hidden="1"/>
    </xf>
    <xf numFmtId="0" fontId="3" fillId="0" borderId="5" xfId="0" applyFont="1" applyBorder="1" applyAlignment="1" applyProtection="1">
      <alignment vertical="center"/>
      <protection hidden="1"/>
    </xf>
    <xf numFmtId="0" fontId="3" fillId="0" borderId="6" xfId="0" applyFont="1" applyBorder="1" applyAlignment="1" applyProtection="1">
      <alignment vertical="center"/>
      <protection hidden="1"/>
    </xf>
    <xf numFmtId="0" fontId="10" fillId="0" borderId="7" xfId="0" applyFont="1" applyBorder="1" applyAlignment="1">
      <alignment horizontal="left" vertical="top" indent="1"/>
    </xf>
    <xf numFmtId="0" fontId="10" fillId="0" borderId="9" xfId="0" applyFont="1" applyBorder="1" applyAlignment="1">
      <alignment horizontal="left" vertical="center" indent="1"/>
    </xf>
    <xf numFmtId="0" fontId="11" fillId="0" borderId="29" xfId="0" applyFont="1" applyBorder="1" applyAlignment="1">
      <alignment horizontal="right" vertical="center" wrapText="1"/>
    </xf>
    <xf numFmtId="0" fontId="11" fillId="0" borderId="33" xfId="0" applyFont="1" applyBorder="1" applyAlignment="1">
      <alignment horizontal="center" vertical="center" wrapText="1"/>
    </xf>
    <xf numFmtId="0" fontId="34" fillId="0" borderId="7" xfId="0" applyFont="1" applyBorder="1" applyAlignment="1">
      <alignment horizontal="left" vertical="center" indent="2"/>
    </xf>
    <xf numFmtId="0" fontId="10" fillId="0" borderId="0" xfId="0" applyFont="1" applyAlignment="1">
      <alignment horizontal="left" vertical="center" indent="1"/>
    </xf>
    <xf numFmtId="165" fontId="27" fillId="0" borderId="0" xfId="0" applyNumberFormat="1" applyFont="1" applyAlignment="1">
      <alignment horizontal="right" vertical="center"/>
    </xf>
    <xf numFmtId="165" fontId="27" fillId="0" borderId="8" xfId="0" applyNumberFormat="1" applyFont="1" applyBorder="1" applyAlignment="1">
      <alignment vertical="center"/>
    </xf>
    <xf numFmtId="0" fontId="11" fillId="0" borderId="28" xfId="0" applyFont="1" applyBorder="1" applyAlignment="1">
      <alignment horizontal="right" vertical="center" wrapText="1"/>
    </xf>
    <xf numFmtId="0" fontId="27" fillId="0" borderId="7" xfId="0" applyFont="1" applyBorder="1" applyAlignment="1" applyProtection="1">
      <alignment horizontal="left" vertical="center" wrapText="1" indent="2"/>
      <protection hidden="1"/>
    </xf>
    <xf numFmtId="0" fontId="27" fillId="0" borderId="0" xfId="0" applyFont="1" applyAlignment="1" applyProtection="1">
      <alignment horizontal="right" vertical="center"/>
      <protection hidden="1"/>
    </xf>
    <xf numFmtId="0" fontId="10" fillId="0" borderId="2" xfId="0" applyFont="1" applyBorder="1" applyAlignment="1">
      <alignment horizontal="left" vertical="top" indent="1"/>
    </xf>
    <xf numFmtId="165" fontId="27" fillId="0" borderId="0" xfId="0" applyNumberFormat="1" applyFont="1" applyAlignment="1">
      <alignment horizontal="right" vertical="top"/>
    </xf>
    <xf numFmtId="0" fontId="2" fillId="0" borderId="9" xfId="0" applyFont="1" applyBorder="1" applyAlignment="1" applyProtection="1">
      <alignment vertical="center"/>
      <protection hidden="1"/>
    </xf>
    <xf numFmtId="0" fontId="10" fillId="0" borderId="15" xfId="0" applyFont="1" applyBorder="1" applyAlignment="1">
      <alignment horizontal="left" vertical="top" indent="1"/>
    </xf>
    <xf numFmtId="165" fontId="10" fillId="3" borderId="3" xfId="0" applyNumberFormat="1" applyFont="1" applyFill="1" applyBorder="1" applyAlignment="1">
      <alignment vertical="center"/>
    </xf>
    <xf numFmtId="0" fontId="12" fillId="0" borderId="17" xfId="0" quotePrefix="1" applyFont="1" applyBorder="1" applyAlignment="1">
      <alignment horizontal="left" vertical="center"/>
    </xf>
    <xf numFmtId="0" fontId="9" fillId="0" borderId="9" xfId="0" applyFont="1" applyBorder="1" applyAlignment="1">
      <alignment vertical="center"/>
    </xf>
    <xf numFmtId="0" fontId="9" fillId="0" borderId="2" xfId="0" applyFont="1" applyBorder="1" applyAlignment="1">
      <alignment vertical="center"/>
    </xf>
    <xf numFmtId="0" fontId="9" fillId="0" borderId="10"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27" fillId="0" borderId="0" xfId="0" applyFont="1" applyAlignment="1">
      <alignment horizontal="right" vertical="center"/>
    </xf>
    <xf numFmtId="0" fontId="35" fillId="0" borderId="0" xfId="5" applyAlignment="1" applyProtection="1">
      <alignment vertical="center"/>
    </xf>
    <xf numFmtId="0" fontId="49" fillId="0" borderId="0" xfId="0" applyFont="1" applyProtection="1">
      <protection hidden="1"/>
    </xf>
    <xf numFmtId="0" fontId="11" fillId="8" borderId="4" xfId="0" applyFont="1" applyFill="1" applyBorder="1" applyAlignment="1">
      <alignment horizontal="left" vertical="center"/>
    </xf>
    <xf numFmtId="0" fontId="9" fillId="8" borderId="5" xfId="0" applyFont="1" applyFill="1" applyBorder="1" applyAlignment="1">
      <alignment horizontal="right" vertical="center"/>
    </xf>
    <xf numFmtId="0" fontId="11" fillId="0" borderId="7" xfId="0" applyFont="1" applyBorder="1" applyAlignment="1">
      <alignment horizontal="left" vertical="center" indent="1"/>
    </xf>
    <xf numFmtId="0" fontId="11" fillId="0" borderId="0" xfId="0" applyFont="1" applyAlignment="1">
      <alignment horizontal="right" vertical="center"/>
    </xf>
    <xf numFmtId="0" fontId="27" fillId="0" borderId="0" xfId="0" applyFont="1" applyAlignment="1">
      <alignment horizontal="left" vertical="center" wrapText="1"/>
    </xf>
    <xf numFmtId="0" fontId="3" fillId="0" borderId="1" xfId="0" applyFont="1" applyBorder="1" applyAlignment="1" applyProtection="1">
      <alignment horizontal="left" vertical="center"/>
      <protection hidden="1"/>
    </xf>
    <xf numFmtId="0" fontId="3" fillId="0" borderId="1" xfId="0" applyFont="1" applyBorder="1" applyAlignment="1" applyProtection="1">
      <alignment horizontal="right" vertical="center"/>
      <protection hidden="1"/>
    </xf>
    <xf numFmtId="0" fontId="27" fillId="0" borderId="7" xfId="0" quotePrefix="1" applyFont="1" applyBorder="1" applyAlignment="1">
      <alignment horizontal="left" vertical="center" wrapText="1"/>
    </xf>
    <xf numFmtId="0" fontId="27" fillId="0" borderId="0" xfId="0" quotePrefix="1" applyFont="1" applyAlignment="1">
      <alignment horizontal="left" vertical="center" wrapText="1"/>
    </xf>
    <xf numFmtId="0" fontId="9" fillId="0" borderId="0" xfId="0" applyFont="1" applyAlignment="1">
      <alignment horizontal="left" vertical="center" wrapText="1"/>
    </xf>
    <xf numFmtId="0" fontId="10" fillId="0" borderId="25"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11" xfId="0" applyFont="1" applyBorder="1" applyAlignment="1">
      <alignment horizontal="center" vertical="center" wrapText="1"/>
    </xf>
    <xf numFmtId="0" fontId="2" fillId="0" borderId="1" xfId="0" applyFont="1" applyBorder="1" applyAlignment="1" applyProtection="1">
      <alignment horizontal="center" vertical="center" wrapText="1"/>
      <protection hidden="1"/>
    </xf>
    <xf numFmtId="0" fontId="3" fillId="5" borderId="0" xfId="0" applyFont="1" applyFill="1" applyAlignment="1" applyProtection="1">
      <alignment vertical="center"/>
      <protection hidden="1"/>
    </xf>
    <xf numFmtId="0" fontId="2" fillId="3" borderId="5" xfId="0" applyFont="1" applyFill="1" applyBorder="1" applyAlignment="1" applyProtection="1">
      <alignment vertical="center"/>
      <protection hidden="1"/>
    </xf>
    <xf numFmtId="0" fontId="2" fillId="3" borderId="6" xfId="0" applyFont="1" applyFill="1" applyBorder="1" applyAlignment="1" applyProtection="1">
      <alignment vertical="center"/>
      <protection hidden="1"/>
    </xf>
    <xf numFmtId="0" fontId="2" fillId="0" borderId="0" xfId="0" applyFont="1" applyAlignment="1" applyProtection="1">
      <alignment horizontal="right" vertical="center"/>
      <protection hidden="1"/>
    </xf>
    <xf numFmtId="0" fontId="2" fillId="0" borderId="2" xfId="0" applyFont="1" applyBorder="1" applyAlignment="1" applyProtection="1">
      <alignment horizontal="left" vertical="center"/>
      <protection hidden="1"/>
    </xf>
    <xf numFmtId="0" fontId="0" fillId="0" borderId="7" xfId="0" applyBorder="1" applyProtection="1">
      <protection hidden="1"/>
    </xf>
    <xf numFmtId="0" fontId="10" fillId="0" borderId="9" xfId="0" applyFont="1" applyBorder="1" applyAlignment="1">
      <alignment horizontal="right" vertical="center"/>
    </xf>
    <xf numFmtId="0" fontId="10" fillId="0" borderId="9" xfId="0" applyFont="1" applyBorder="1" applyAlignment="1">
      <alignment vertical="center"/>
    </xf>
    <xf numFmtId="9" fontId="27" fillId="0" borderId="0" xfId="0" applyNumberFormat="1" applyFont="1" applyAlignment="1">
      <alignment vertical="center"/>
    </xf>
    <xf numFmtId="0" fontId="3" fillId="0" borderId="6" xfId="0" applyFont="1" applyBorder="1" applyAlignment="1" applyProtection="1">
      <alignment horizontal="right" vertical="center"/>
      <protection hidden="1"/>
    </xf>
    <xf numFmtId="0" fontId="34" fillId="0" borderId="0" xfId="0" applyFont="1" applyAlignment="1">
      <alignment vertical="center"/>
    </xf>
    <xf numFmtId="9" fontId="2" fillId="0" borderId="8" xfId="0" applyNumberFormat="1" applyFont="1" applyBorder="1" applyAlignment="1" applyProtection="1">
      <alignment vertical="center"/>
      <protection hidden="1"/>
    </xf>
    <xf numFmtId="0" fontId="10" fillId="5" borderId="0" xfId="0" applyFont="1" applyFill="1" applyAlignment="1">
      <alignment horizontal="right" vertical="center" indent="1"/>
    </xf>
    <xf numFmtId="0" fontId="3" fillId="6" borderId="0" xfId="0" applyFont="1" applyFill="1" applyAlignment="1" applyProtection="1">
      <alignment vertical="center"/>
      <protection hidden="1"/>
    </xf>
    <xf numFmtId="0" fontId="2" fillId="6" borderId="0" xfId="0" applyFont="1" applyFill="1" applyAlignment="1" applyProtection="1">
      <alignment vertical="center"/>
      <protection hidden="1"/>
    </xf>
    <xf numFmtId="0" fontId="3" fillId="0" borderId="9" xfId="0" applyFont="1" applyBorder="1" applyAlignment="1" applyProtection="1">
      <alignment vertical="center"/>
      <protection hidden="1"/>
    </xf>
    <xf numFmtId="9" fontId="3" fillId="0" borderId="10" xfId="0" applyNumberFormat="1" applyFont="1" applyBorder="1" applyAlignment="1" applyProtection="1">
      <alignment vertical="center"/>
      <protection hidden="1"/>
    </xf>
    <xf numFmtId="9" fontId="10" fillId="12" borderId="0" xfId="0" applyNumberFormat="1" applyFont="1" applyFill="1" applyAlignment="1">
      <alignment vertical="center"/>
    </xf>
    <xf numFmtId="0" fontId="12" fillId="0" borderId="0" xfId="0" quotePrefix="1" applyFont="1" applyAlignment="1">
      <alignment vertical="center"/>
    </xf>
    <xf numFmtId="0" fontId="3" fillId="0" borderId="1" xfId="0" applyFont="1" applyBorder="1" applyAlignment="1" applyProtection="1">
      <alignment vertical="center"/>
      <protection hidden="1"/>
    </xf>
    <xf numFmtId="0" fontId="7" fillId="0" borderId="1" xfId="0" applyFont="1" applyBorder="1" applyAlignment="1" applyProtection="1">
      <alignment horizontal="right" vertical="center" wrapText="1"/>
      <protection hidden="1"/>
    </xf>
    <xf numFmtId="0" fontId="3" fillId="0" borderId="1" xfId="0" applyFont="1" applyBorder="1" applyAlignment="1" applyProtection="1">
      <alignment horizontal="right" vertical="center" wrapText="1"/>
      <protection hidden="1"/>
    </xf>
    <xf numFmtId="0" fontId="28" fillId="0" borderId="0" xfId="0" applyFont="1" applyAlignment="1">
      <alignment vertical="center"/>
    </xf>
    <xf numFmtId="0" fontId="28" fillId="0" borderId="0" xfId="0" applyFont="1" applyAlignment="1">
      <alignment vertical="center" wrapText="1"/>
    </xf>
    <xf numFmtId="0" fontId="2" fillId="0" borderId="1" xfId="0" applyFont="1" applyBorder="1" applyAlignment="1" applyProtection="1">
      <alignment horizontal="right" vertical="center"/>
      <protection hidden="1"/>
    </xf>
    <xf numFmtId="0" fontId="28" fillId="0" borderId="2" xfId="0" applyFont="1" applyBorder="1" applyAlignment="1">
      <alignment vertical="center" wrapText="1"/>
    </xf>
    <xf numFmtId="0" fontId="2" fillId="0" borderId="3" xfId="0" applyFont="1" applyBorder="1" applyAlignment="1" applyProtection="1">
      <alignment horizontal="right" vertical="center"/>
      <protection hidden="1"/>
    </xf>
    <xf numFmtId="0" fontId="36" fillId="0" borderId="0" xfId="5" quotePrefix="1" applyFont="1" applyBorder="1" applyAlignment="1" applyProtection="1">
      <alignment vertical="center"/>
    </xf>
    <xf numFmtId="165" fontId="27" fillId="12" borderId="0" xfId="0" applyNumberFormat="1" applyFont="1" applyFill="1" applyAlignment="1">
      <alignment vertical="center"/>
    </xf>
    <xf numFmtId="165" fontId="10" fillId="0" borderId="9" xfId="0" applyNumberFormat="1" applyFont="1" applyBorder="1" applyAlignment="1">
      <alignment horizontal="left" vertical="center" indent="1"/>
    </xf>
    <xf numFmtId="0" fontId="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10" fontId="27" fillId="12" borderId="0" xfId="0" applyNumberFormat="1" applyFont="1" applyFill="1" applyAlignment="1">
      <alignment vertical="center"/>
    </xf>
    <xf numFmtId="0" fontId="3" fillId="0" borderId="1" xfId="0" applyFont="1" applyBorder="1" applyAlignment="1" applyProtection="1">
      <alignment vertical="center" wrapText="1"/>
      <protection hidden="1"/>
    </xf>
    <xf numFmtId="0" fontId="9" fillId="0" borderId="2" xfId="0" applyFont="1" applyBorder="1" applyAlignment="1">
      <alignment horizontal="left" vertical="center" indent="1"/>
    </xf>
    <xf numFmtId="0" fontId="11" fillId="0" borderId="9" xfId="0" applyFont="1" applyBorder="1" applyAlignment="1">
      <alignment horizontal="right" vertical="center" wrapText="1"/>
    </xf>
    <xf numFmtId="0" fontId="11" fillId="0" borderId="2" xfId="0" applyFont="1" applyBorder="1" applyAlignment="1">
      <alignment horizontal="right" vertical="center" wrapText="1"/>
    </xf>
    <xf numFmtId="0" fontId="27" fillId="12" borderId="0" xfId="0" applyFont="1" applyFill="1" applyAlignment="1">
      <alignment horizontal="right" vertical="center"/>
    </xf>
    <xf numFmtId="0" fontId="11" fillId="0" borderId="8" xfId="0" applyFont="1" applyBorder="1" applyAlignment="1">
      <alignment vertical="center"/>
    </xf>
    <xf numFmtId="9" fontId="2" fillId="0" borderId="1" xfId="2" applyFont="1" applyBorder="1" applyAlignment="1" applyProtection="1">
      <alignment vertical="center"/>
      <protection hidden="1"/>
    </xf>
    <xf numFmtId="0" fontId="11" fillId="0" borderId="9" xfId="0" applyFont="1" applyBorder="1" applyAlignment="1">
      <alignment horizontal="left" vertical="center" indent="1"/>
    </xf>
    <xf numFmtId="165" fontId="9" fillId="0" borderId="2" xfId="0" applyNumberFormat="1" applyFont="1" applyBorder="1" applyAlignment="1">
      <alignment horizontal="left" vertical="center" indent="1"/>
    </xf>
    <xf numFmtId="0" fontId="26" fillId="0" borderId="0" xfId="0" applyFont="1" applyAlignment="1">
      <alignment horizontal="right" vertical="center"/>
    </xf>
    <xf numFmtId="165" fontId="27" fillId="14" borderId="0" xfId="0" applyNumberFormat="1" applyFont="1" applyFill="1" applyAlignment="1">
      <alignment vertical="center"/>
    </xf>
    <xf numFmtId="0" fontId="28" fillId="0" borderId="2" xfId="0" applyFont="1" applyBorder="1" applyAlignment="1">
      <alignment vertical="center"/>
    </xf>
    <xf numFmtId="9" fontId="2" fillId="0" borderId="0" xfId="2" applyFont="1" applyBorder="1" applyAlignment="1" applyProtection="1">
      <alignment vertical="center"/>
      <protection hidden="1"/>
    </xf>
    <xf numFmtId="0" fontId="11" fillId="4" borderId="4" xfId="0" applyFont="1" applyFill="1" applyBorder="1" applyAlignment="1">
      <alignment vertical="center"/>
    </xf>
    <xf numFmtId="0" fontId="9" fillId="4" borderId="5" xfId="0" applyFont="1" applyFill="1" applyBorder="1" applyAlignment="1">
      <alignment vertical="center"/>
    </xf>
    <xf numFmtId="0" fontId="9" fillId="4" borderId="6" xfId="0" applyFont="1" applyFill="1" applyBorder="1" applyAlignment="1">
      <alignment vertical="center"/>
    </xf>
    <xf numFmtId="0" fontId="2" fillId="0" borderId="7" xfId="0" applyFont="1" applyBorder="1" applyAlignment="1">
      <alignment vertical="center"/>
    </xf>
    <xf numFmtId="0" fontId="8" fillId="0" borderId="1" xfId="0" applyFont="1" applyBorder="1" applyProtection="1">
      <protection hidden="1"/>
    </xf>
    <xf numFmtId="0" fontId="3" fillId="6" borderId="15" xfId="0" applyFont="1" applyFill="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7" fillId="0" borderId="2" xfId="0" applyFont="1" applyBorder="1" applyAlignment="1">
      <alignment vertical="center"/>
    </xf>
    <xf numFmtId="0" fontId="2" fillId="0" borderId="10" xfId="0" applyFont="1" applyBorder="1" applyAlignment="1">
      <alignment vertical="center"/>
    </xf>
    <xf numFmtId="0" fontId="11" fillId="9" borderId="4" xfId="0" applyFont="1" applyFill="1" applyBorder="1" applyAlignment="1">
      <alignment horizontal="left" vertical="center"/>
    </xf>
    <xf numFmtId="0" fontId="11" fillId="9" borderId="5" xfId="0" applyFont="1" applyFill="1" applyBorder="1" applyAlignment="1">
      <alignment horizontal="left" vertical="center"/>
    </xf>
    <xf numFmtId="0" fontId="11" fillId="9" borderId="6" xfId="0" applyFont="1" applyFill="1" applyBorder="1" applyAlignment="1">
      <alignment horizontal="left" vertical="center"/>
    </xf>
    <xf numFmtId="166" fontId="2" fillId="0" borderId="0" xfId="2" applyNumberFormat="1" applyFont="1" applyAlignment="1" applyProtection="1">
      <alignment vertical="center"/>
      <protection hidden="1"/>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165" fontId="27" fillId="0" borderId="0" xfId="0" applyNumberFormat="1" applyFont="1" applyAlignment="1">
      <alignment vertical="center"/>
    </xf>
    <xf numFmtId="0" fontId="27" fillId="2" borderId="32" xfId="0" applyFont="1" applyFill="1" applyBorder="1" applyAlignment="1" applyProtection="1">
      <alignment horizontal="right" vertical="center"/>
      <protection locked="0"/>
    </xf>
    <xf numFmtId="0" fontId="27" fillId="2" borderId="11" xfId="0" applyFont="1" applyFill="1" applyBorder="1" applyAlignment="1" applyProtection="1">
      <alignment horizontal="right" vertical="center"/>
      <protection locked="0"/>
    </xf>
    <xf numFmtId="0" fontId="27" fillId="2" borderId="11" xfId="0" applyFont="1" applyFill="1" applyBorder="1" applyAlignment="1" applyProtection="1">
      <alignment horizontal="center" vertical="center"/>
      <protection locked="0"/>
    </xf>
    <xf numFmtId="0" fontId="27" fillId="2" borderId="14" xfId="0" applyFont="1" applyFill="1" applyBorder="1" applyAlignment="1" applyProtection="1">
      <alignment horizontal="center" vertical="center"/>
      <protection locked="0"/>
    </xf>
    <xf numFmtId="0" fontId="10" fillId="2" borderId="25" xfId="0" applyFont="1" applyFill="1" applyBorder="1" applyAlignment="1" applyProtection="1">
      <alignment horizontal="left" vertical="center" indent="1"/>
      <protection locked="0"/>
    </xf>
    <xf numFmtId="0" fontId="10" fillId="2" borderId="11" xfId="0" applyFont="1" applyFill="1" applyBorder="1" applyAlignment="1" applyProtection="1">
      <alignment vertical="center"/>
      <protection locked="0"/>
    </xf>
    <xf numFmtId="0" fontId="27" fillId="2" borderId="14" xfId="0" applyFont="1" applyFill="1" applyBorder="1" applyAlignment="1" applyProtection="1">
      <alignment horizontal="right" vertical="center"/>
      <protection locked="0"/>
    </xf>
    <xf numFmtId="165" fontId="27" fillId="2" borderId="0" xfId="0" applyNumberFormat="1" applyFont="1" applyFill="1" applyAlignment="1" applyProtection="1">
      <alignment vertical="center"/>
      <protection locked="0"/>
    </xf>
    <xf numFmtId="0" fontId="13" fillId="13" borderId="0" xfId="0" applyFont="1" applyFill="1" applyAlignment="1" applyProtection="1">
      <alignment vertical="center"/>
      <protection locked="0"/>
    </xf>
    <xf numFmtId="166" fontId="13" fillId="13" borderId="0" xfId="0" applyNumberFormat="1" applyFont="1" applyFill="1" applyAlignment="1" applyProtection="1">
      <alignment vertical="center"/>
      <protection locked="0"/>
    </xf>
    <xf numFmtId="166" fontId="14" fillId="13" borderId="0" xfId="0" applyNumberFormat="1" applyFont="1" applyFill="1" applyAlignment="1" applyProtection="1">
      <alignment vertical="center"/>
      <protection locked="0"/>
    </xf>
    <xf numFmtId="0" fontId="13" fillId="13" borderId="0" xfId="0" applyFont="1" applyFill="1" applyAlignment="1" applyProtection="1">
      <alignment vertical="center" wrapText="1"/>
      <protection locked="0"/>
    </xf>
    <xf numFmtId="9" fontId="13" fillId="13" borderId="0" xfId="0" applyNumberFormat="1" applyFont="1" applyFill="1" applyAlignment="1" applyProtection="1">
      <alignment vertical="center" wrapText="1"/>
      <protection locked="0"/>
    </xf>
    <xf numFmtId="0" fontId="13" fillId="13" borderId="0" xfId="0" applyFont="1" applyFill="1" applyAlignment="1" applyProtection="1">
      <alignment vertical="center"/>
      <protection hidden="1"/>
    </xf>
    <xf numFmtId="165" fontId="13" fillId="13" borderId="0" xfId="0" applyNumberFormat="1" applyFont="1" applyFill="1" applyAlignment="1" applyProtection="1">
      <alignment vertical="center"/>
      <protection hidden="1"/>
    </xf>
    <xf numFmtId="168" fontId="13" fillId="13" borderId="0" xfId="0" applyNumberFormat="1" applyFont="1" applyFill="1" applyAlignment="1" applyProtection="1">
      <alignment vertical="center"/>
      <protection hidden="1"/>
    </xf>
    <xf numFmtId="9" fontId="13" fillId="2" borderId="0" xfId="0" applyNumberFormat="1" applyFont="1" applyFill="1" applyAlignment="1" applyProtection="1">
      <alignment vertical="center"/>
      <protection hidden="1"/>
    </xf>
    <xf numFmtId="14" fontId="9" fillId="7" borderId="0" xfId="0" applyNumberFormat="1" applyFont="1" applyFill="1" applyAlignment="1" applyProtection="1">
      <alignment vertical="center"/>
      <protection locked="0"/>
    </xf>
    <xf numFmtId="0" fontId="3" fillId="0" borderId="15"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17" xfId="0" applyFont="1" applyBorder="1" applyAlignment="1" applyProtection="1">
      <alignment horizontal="center" vertical="center" wrapText="1"/>
      <protection hidden="1"/>
    </xf>
    <xf numFmtId="0" fontId="27" fillId="0" borderId="18" xfId="0" applyFont="1" applyBorder="1" applyAlignment="1">
      <alignment horizontal="left" vertical="center" wrapText="1"/>
    </xf>
    <xf numFmtId="0" fontId="27" fillId="0" borderId="0" xfId="0" applyFont="1" applyAlignment="1">
      <alignment horizontal="left" vertical="center" wrapText="1"/>
    </xf>
    <xf numFmtId="0" fontId="3" fillId="0" borderId="1" xfId="0" applyFont="1" applyBorder="1" applyAlignment="1" applyProtection="1">
      <alignment horizontal="center" vertical="center"/>
      <protection hidden="1"/>
    </xf>
    <xf numFmtId="0" fontId="27" fillId="0" borderId="7" xfId="0" quotePrefix="1" applyFont="1" applyBorder="1" applyAlignment="1">
      <alignment horizontal="left" vertical="center" wrapText="1" indent="1"/>
    </xf>
    <xf numFmtId="0" fontId="27" fillId="0" borderId="0" xfId="0" quotePrefix="1" applyFont="1" applyAlignment="1">
      <alignment horizontal="left" vertical="center" wrapText="1" inden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28" fillId="0" borderId="18" xfId="0" applyFont="1" applyBorder="1" applyAlignment="1">
      <alignment horizontal="left" vertical="center" wrapText="1" indent="1"/>
    </xf>
    <xf numFmtId="0" fontId="28" fillId="0" borderId="0" xfId="0" applyFont="1" applyAlignment="1">
      <alignment horizontal="left" vertical="center" wrapText="1" indent="1"/>
    </xf>
    <xf numFmtId="0" fontId="32" fillId="6" borderId="1" xfId="0" applyFont="1" applyFill="1" applyBorder="1" applyAlignment="1">
      <alignment horizontal="center" vertical="center"/>
    </xf>
    <xf numFmtId="0" fontId="27" fillId="2" borderId="31" xfId="0" applyFont="1" applyFill="1" applyBorder="1" applyAlignment="1" applyProtection="1">
      <alignment horizontal="left" vertical="center"/>
      <protection locked="0"/>
    </xf>
    <xf numFmtId="0" fontId="27" fillId="2" borderId="26" xfId="0" applyFont="1" applyFill="1" applyBorder="1" applyAlignment="1" applyProtection="1">
      <alignment horizontal="left" vertical="center"/>
      <protection locked="0"/>
    </xf>
    <xf numFmtId="0" fontId="31" fillId="0" borderId="9" xfId="0" applyFont="1" applyBorder="1" applyAlignment="1">
      <alignment horizontal="left" vertical="center" wrapText="1" indent="1"/>
    </xf>
    <xf numFmtId="0" fontId="31" fillId="0" borderId="2" xfId="0" applyFont="1" applyBorder="1" applyAlignment="1">
      <alignment horizontal="left" vertical="center" wrapText="1" indent="1"/>
    </xf>
    <xf numFmtId="0" fontId="27" fillId="2" borderId="19" xfId="0" applyFont="1" applyFill="1" applyBorder="1" applyAlignment="1" applyProtection="1">
      <alignment horizontal="left" vertical="top" wrapText="1"/>
      <protection locked="0"/>
    </xf>
    <xf numFmtId="0" fontId="27" fillId="2" borderId="20" xfId="0" applyFont="1" applyFill="1" applyBorder="1" applyAlignment="1" applyProtection="1">
      <alignment horizontal="left" vertical="top"/>
      <protection locked="0"/>
    </xf>
    <xf numFmtId="0" fontId="27" fillId="2" borderId="21" xfId="0" applyFont="1" applyFill="1" applyBorder="1" applyAlignment="1" applyProtection="1">
      <alignment horizontal="left" vertical="top"/>
      <protection locked="0"/>
    </xf>
    <xf numFmtId="0" fontId="27" fillId="2" borderId="22" xfId="0" applyFont="1" applyFill="1" applyBorder="1" applyAlignment="1" applyProtection="1">
      <alignment horizontal="left" vertical="top"/>
      <protection locked="0"/>
    </xf>
    <xf numFmtId="0" fontId="27" fillId="2" borderId="23" xfId="0" applyFont="1" applyFill="1" applyBorder="1" applyAlignment="1" applyProtection="1">
      <alignment horizontal="left" vertical="top"/>
      <protection locked="0"/>
    </xf>
    <xf numFmtId="0" fontId="27" fillId="2" borderId="24" xfId="0" applyFont="1" applyFill="1" applyBorder="1" applyAlignment="1" applyProtection="1">
      <alignment horizontal="left" vertical="top"/>
      <protection locked="0"/>
    </xf>
    <xf numFmtId="0" fontId="27" fillId="2" borderId="19" xfId="0" applyFont="1" applyFill="1" applyBorder="1" applyAlignment="1" applyProtection="1">
      <alignment horizontal="center" vertical="top"/>
      <protection locked="0"/>
    </xf>
    <xf numFmtId="0" fontId="27" fillId="2" borderId="20" xfId="0" applyFont="1" applyFill="1" applyBorder="1" applyAlignment="1" applyProtection="1">
      <alignment horizontal="center" vertical="top"/>
      <protection locked="0"/>
    </xf>
    <xf numFmtId="0" fontId="27" fillId="2" borderId="21" xfId="0" applyFont="1" applyFill="1" applyBorder="1" applyAlignment="1" applyProtection="1">
      <alignment horizontal="center" vertical="top"/>
      <protection locked="0"/>
    </xf>
    <xf numFmtId="0" fontId="27" fillId="2" borderId="22" xfId="0" applyFont="1" applyFill="1" applyBorder="1" applyAlignment="1" applyProtection="1">
      <alignment horizontal="center" vertical="top"/>
      <protection locked="0"/>
    </xf>
    <xf numFmtId="0" fontId="27" fillId="2" borderId="23" xfId="0" applyFont="1" applyFill="1" applyBorder="1" applyAlignment="1" applyProtection="1">
      <alignment horizontal="center" vertical="top"/>
      <protection locked="0"/>
    </xf>
    <xf numFmtId="0" fontId="27" fillId="2" borderId="24" xfId="0" applyFont="1" applyFill="1" applyBorder="1" applyAlignment="1" applyProtection="1">
      <alignment horizontal="center" vertical="top"/>
      <protection locked="0"/>
    </xf>
    <xf numFmtId="0" fontId="45" fillId="0" borderId="0" xfId="0" applyFont="1" applyAlignment="1" applyProtection="1">
      <alignment horizontal="center" vertical="center"/>
      <protection hidden="1"/>
    </xf>
    <xf numFmtId="0" fontId="45" fillId="0" borderId="38" xfId="0" applyFont="1" applyBorder="1" applyAlignment="1" applyProtection="1">
      <alignment horizontal="center" vertical="center"/>
      <protection hidden="1"/>
    </xf>
    <xf numFmtId="0" fontId="45" fillId="0" borderId="34" xfId="0" applyFont="1" applyBorder="1" applyAlignment="1" applyProtection="1">
      <alignment horizontal="center" vertical="center"/>
      <protection hidden="1"/>
    </xf>
    <xf numFmtId="0" fontId="45" fillId="0" borderId="42" xfId="0" applyFont="1" applyBorder="1" applyAlignment="1" applyProtection="1">
      <alignment horizontal="center" vertical="center" wrapText="1"/>
      <protection hidden="1"/>
    </xf>
    <xf numFmtId="0" fontId="45" fillId="0" borderId="15" xfId="0" applyFont="1" applyBorder="1" applyAlignment="1" applyProtection="1">
      <alignment horizontal="center" vertical="center" wrapText="1"/>
      <protection hidden="1"/>
    </xf>
    <xf numFmtId="0" fontId="45" fillId="0" borderId="51" xfId="0" applyFont="1" applyBorder="1" applyAlignment="1" applyProtection="1">
      <alignment horizontal="center" vertical="center" wrapText="1"/>
      <protection hidden="1"/>
    </xf>
    <xf numFmtId="0" fontId="45" fillId="0" borderId="9" xfId="0" applyFont="1" applyBorder="1" applyAlignment="1" applyProtection="1">
      <alignment horizontal="center" vertical="center" wrapText="1"/>
      <protection hidden="1"/>
    </xf>
    <xf numFmtId="0" fontId="45" fillId="0" borderId="58" xfId="0" applyFont="1" applyBorder="1" applyAlignment="1" applyProtection="1">
      <alignment horizontal="center" vertical="center" wrapText="1"/>
      <protection hidden="1"/>
    </xf>
    <xf numFmtId="0" fontId="45" fillId="0" borderId="8" xfId="0" applyFont="1" applyBorder="1" applyAlignment="1" applyProtection="1">
      <alignment horizontal="center" vertical="center" wrapText="1"/>
      <protection hidden="1"/>
    </xf>
    <xf numFmtId="0" fontId="45" fillId="0" borderId="59" xfId="0" applyFont="1" applyBorder="1" applyAlignment="1" applyProtection="1">
      <alignment horizontal="center" vertical="center" wrapText="1"/>
      <protection hidden="1"/>
    </xf>
  </cellXfs>
  <cellStyles count="6">
    <cellStyle name="Gut" xfId="3" builtinId="26"/>
    <cellStyle name="Komma" xfId="1" builtinId="3" customBuiltin="1"/>
    <cellStyle name="Link" xfId="5" builtinId="8"/>
    <cellStyle name="Prozent" xfId="2" builtinId="5"/>
    <cellStyle name="Standard" xfId="0" builtinId="0"/>
    <cellStyle name="Standard 2" xfId="4"/>
  </cellStyles>
  <dxfs count="27">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5" tint="0.59996337778862885"/>
        </patternFill>
      </fill>
    </dxf>
    <dxf>
      <fill>
        <patternFill>
          <bgColor theme="7" tint="0.79998168889431442"/>
        </patternFill>
      </fill>
    </dxf>
    <dxf>
      <font>
        <color rgb="FFC00000"/>
      </font>
    </dxf>
    <dxf>
      <font>
        <color rgb="FFC00000"/>
      </font>
    </dxf>
    <dxf>
      <font>
        <color rgb="FFC00000"/>
      </font>
    </dxf>
    <dxf>
      <font>
        <color rgb="FFC00000"/>
      </font>
    </dxf>
    <dxf>
      <font>
        <color rgb="FFC00000"/>
      </font>
    </dxf>
    <dxf>
      <font>
        <color rgb="FFC00000"/>
      </font>
    </dxf>
    <dxf>
      <border>
        <top style="thin">
          <color theme="4"/>
        </top>
      </border>
    </dxf>
    <dxf>
      <border>
        <top style="thin">
          <color theme="4"/>
        </top>
      </border>
    </dxf>
    <dxf>
      <border>
        <right style="thin">
          <color theme="4"/>
        </right>
      </border>
    </dxf>
    <dxf>
      <border>
        <top style="thin">
          <color theme="4"/>
        </top>
      </border>
    </dxf>
    <dxf>
      <font>
        <b/>
        <i val="0"/>
      </font>
      <fill>
        <patternFill>
          <bgColor theme="4" tint="0.59996337778862885"/>
        </patternFill>
      </fill>
      <border diagonalUp="0" diagonalDown="0">
        <left/>
        <right/>
        <top/>
        <bottom/>
        <vertical/>
        <horizontal/>
      </border>
    </dxf>
    <dxf>
      <border>
        <top style="thin">
          <color theme="4"/>
        </top>
        <bottom style="medium">
          <color theme="4"/>
        </bottom>
      </border>
    </dxf>
    <dxf>
      <fill>
        <patternFill>
          <bgColor theme="4" tint="0.79998168889431442"/>
        </patternFill>
      </fill>
    </dxf>
    <dxf>
      <font>
        <b/>
        <i val="0"/>
      </font>
      <fill>
        <patternFill>
          <bgColor theme="4" tint="0.59996337778862885"/>
        </patternFill>
      </fill>
      <border diagonalUp="0" diagonalDown="0">
        <left/>
        <right/>
        <top/>
        <bottom/>
        <vertical/>
        <horizontal/>
      </border>
    </dxf>
    <dxf>
      <border>
        <top style="thin">
          <color theme="4"/>
        </top>
        <bottom style="medium">
          <color theme="4"/>
        </bottom>
      </border>
    </dxf>
  </dxfs>
  <tableStyles count="2" defaultTableStyle="Ecoplan Linien" defaultPivotStyle="PivotStyleLight16">
    <tableStyle name="Ecoplan Kontrast" pivot="0" count="3">
      <tableStyleElement type="wholeTable" dxfId="26"/>
      <tableStyleElement type="headerRow" dxfId="25"/>
      <tableStyleElement type="secondRowStripe" dxfId="24"/>
    </tableStyle>
    <tableStyle name="Ecoplan Linien" pivot="0" count="6">
      <tableStyleElement type="wholeTable" dxfId="23"/>
      <tableStyleElement type="headerRow" dxfId="22"/>
      <tableStyleElement type="totalRow" dxfId="21"/>
      <tableStyleElement type="firstColumn" dxfId="20"/>
      <tableStyleElement type="firstRowStripe" dxfId="19"/>
      <tableStyleElement type="secondRowStripe" dxfId="18"/>
    </tableStyle>
  </tableStyles>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Ecoplan">
      <a:dk1>
        <a:sysClr val="windowText" lastClr="000000"/>
      </a:dk1>
      <a:lt1>
        <a:srgbClr val="FFFFFF"/>
      </a:lt1>
      <a:dk2>
        <a:srgbClr val="000000"/>
      </a:dk2>
      <a:lt2>
        <a:srgbClr val="FFFFFF"/>
      </a:lt2>
      <a:accent1>
        <a:srgbClr val="5F7E8F"/>
      </a:accent1>
      <a:accent2>
        <a:srgbClr val="A95D75"/>
      </a:accent2>
      <a:accent3>
        <a:srgbClr val="C8A873"/>
      </a:accent3>
      <a:accent4>
        <a:srgbClr val="709870"/>
      </a:accent4>
      <a:accent5>
        <a:srgbClr val="837364"/>
      </a:accent5>
      <a:accent6>
        <a:srgbClr val="000000"/>
      </a:accent6>
      <a:hlink>
        <a:srgbClr val="0042C7"/>
      </a:hlink>
      <a:folHlink>
        <a:srgbClr val="FF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eo.lu.ch/map/grundbuchpla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17"/>
  <sheetViews>
    <sheetView zoomScaleNormal="100" workbookViewId="0">
      <selection activeCell="H18" sqref="H18"/>
    </sheetView>
  </sheetViews>
  <sheetFormatPr baseColWidth="10" defaultColWidth="11" defaultRowHeight="16.5" customHeight="1" x14ac:dyDescent="0.2"/>
  <cols>
    <col min="1" max="1" width="11.625" style="1" customWidth="1"/>
    <col min="2" max="2" width="70.625" style="1" customWidth="1"/>
    <col min="3" max="8" width="11" style="1"/>
    <col min="9" max="9" width="10.375" style="1" bestFit="1" customWidth="1"/>
    <col min="10" max="16384" width="11" style="1"/>
  </cols>
  <sheetData>
    <row r="1" spans="1:2" ht="16.5" customHeight="1" x14ac:dyDescent="0.2">
      <c r="A1" s="13" t="s">
        <v>270</v>
      </c>
      <c r="B1" s="12" t="s">
        <v>271</v>
      </c>
    </row>
    <row r="2" spans="1:2" ht="16.5" customHeight="1" x14ac:dyDescent="0.2">
      <c r="A2" s="6"/>
      <c r="B2" s="9"/>
    </row>
    <row r="3" spans="1:2" ht="16.5" customHeight="1" x14ac:dyDescent="0.2">
      <c r="A3" s="6"/>
      <c r="B3" s="9"/>
    </row>
    <row r="4" spans="1:2" ht="16.5" customHeight="1" x14ac:dyDescent="0.2">
      <c r="A4" s="6"/>
      <c r="B4" s="9"/>
    </row>
    <row r="5" spans="1:2" ht="20.25" x14ac:dyDescent="0.2">
      <c r="A5" s="8" t="s">
        <v>269</v>
      </c>
      <c r="B5" s="11" t="s">
        <v>366</v>
      </c>
    </row>
    <row r="6" spans="1:2" ht="16.5" customHeight="1" x14ac:dyDescent="0.2">
      <c r="A6" s="6" t="s">
        <v>268</v>
      </c>
      <c r="B6" s="9">
        <v>1</v>
      </c>
    </row>
    <row r="7" spans="1:2" ht="16.5" customHeight="1" x14ac:dyDescent="0.2">
      <c r="A7" s="6" t="s">
        <v>246</v>
      </c>
      <c r="B7" s="10">
        <v>45411</v>
      </c>
    </row>
    <row r="8" spans="1:2" ht="16.5" customHeight="1" x14ac:dyDescent="0.2">
      <c r="A8" s="6"/>
      <c r="B8" s="9"/>
    </row>
    <row r="9" spans="1:2" ht="16.5" customHeight="1" x14ac:dyDescent="0.2">
      <c r="A9" s="6"/>
      <c r="B9" s="9"/>
    </row>
    <row r="10" spans="1:2" ht="26.25" customHeight="1" x14ac:dyDescent="0.2">
      <c r="A10" s="8" t="s">
        <v>267</v>
      </c>
      <c r="B10" s="7" t="s">
        <v>365</v>
      </c>
    </row>
    <row r="11" spans="1:2" ht="16.5" customHeight="1" x14ac:dyDescent="0.2">
      <c r="A11" s="6"/>
      <c r="B11" s="6"/>
    </row>
    <row r="12" spans="1:2" ht="16.5" customHeight="1" x14ac:dyDescent="0.2">
      <c r="A12" s="6"/>
      <c r="B12" s="6"/>
    </row>
    <row r="13" spans="1:2" ht="16.5" customHeight="1" x14ac:dyDescent="0.2">
      <c r="A13" s="6"/>
      <c r="B13" s="6"/>
    </row>
    <row r="14" spans="1:2" ht="16.5" customHeight="1" x14ac:dyDescent="0.2">
      <c r="A14" s="6"/>
      <c r="B14" s="6"/>
    </row>
    <row r="15" spans="1:2" ht="16.5" customHeight="1" x14ac:dyDescent="0.2">
      <c r="A15" s="6"/>
      <c r="B15" s="6"/>
    </row>
    <row r="16" spans="1:2" ht="16.5" customHeight="1" x14ac:dyDescent="0.2">
      <c r="A16" s="6"/>
      <c r="B16" s="6"/>
    </row>
    <row r="17" spans="1:2" ht="16.5" customHeight="1" x14ac:dyDescent="0.2">
      <c r="A17" s="6"/>
      <c r="B17" s="6"/>
    </row>
  </sheetData>
  <pageMargins left="0.7" right="0.7" top="0.78740157499999996" bottom="0.78740157499999996"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AJ130"/>
  <sheetViews>
    <sheetView showGridLines="0" topLeftCell="A31" zoomScaleNormal="100" zoomScaleSheetLayoutView="70" zoomScalePageLayoutView="85" workbookViewId="0">
      <selection activeCell="AJ10" sqref="AJ10"/>
    </sheetView>
  </sheetViews>
  <sheetFormatPr baseColWidth="10" defaultColWidth="11" defaultRowHeight="16.5" customHeight="1" zeroHeight="1" x14ac:dyDescent="0.2"/>
  <cols>
    <col min="1" max="1" width="42" style="2" customWidth="1"/>
    <col min="2" max="2" width="18.875" style="2" customWidth="1"/>
    <col min="3" max="3" width="9.875" style="2" customWidth="1"/>
    <col min="4" max="4" width="13.375" style="2" customWidth="1"/>
    <col min="5" max="5" width="20" style="2" customWidth="1"/>
    <col min="6" max="6" width="14.5" style="2" customWidth="1"/>
    <col min="7" max="7" width="18.5" style="2" customWidth="1"/>
    <col min="8" max="8" width="18" style="2" customWidth="1"/>
    <col min="9" max="10" width="16.375" hidden="1" customWidth="1"/>
    <col min="11" max="11" width="17.375" style="1" hidden="1" customWidth="1"/>
    <col min="12" max="12" width="11.625" style="1" hidden="1" customWidth="1"/>
    <col min="13" max="13" width="14.875" style="1" hidden="1" customWidth="1"/>
    <col min="14" max="23" width="11" style="1" hidden="1" customWidth="1"/>
    <col min="24" max="24" width="49.5" style="1" hidden="1" customWidth="1"/>
    <col min="25" max="31" width="11" style="1" hidden="1" customWidth="1"/>
    <col min="32" max="33" width="0" style="1" hidden="1" customWidth="1"/>
    <col min="34" max="16384" width="11" style="1"/>
  </cols>
  <sheetData>
    <row r="1" spans="1:36" ht="39.75" customHeight="1" x14ac:dyDescent="0.2">
      <c r="A1" s="217" t="s">
        <v>370</v>
      </c>
      <c r="D1" s="218"/>
      <c r="G1" s="219" t="s">
        <v>246</v>
      </c>
      <c r="H1" s="380">
        <f ca="1">TODAY()</f>
        <v>45469</v>
      </c>
      <c r="I1" s="220"/>
      <c r="J1" s="221"/>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row>
    <row r="2" spans="1:36" ht="16.5" customHeight="1" x14ac:dyDescent="0.2">
      <c r="A2" s="222" t="s">
        <v>0</v>
      </c>
      <c r="B2" s="223"/>
      <c r="C2" s="223"/>
      <c r="D2" s="223"/>
      <c r="E2" s="223"/>
      <c r="F2" s="223"/>
      <c r="G2" s="223"/>
      <c r="H2" s="224"/>
      <c r="I2" s="221"/>
      <c r="J2" s="221"/>
      <c r="K2" s="221"/>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row>
    <row r="3" spans="1:36" ht="16.5" customHeight="1" x14ac:dyDescent="0.2">
      <c r="A3" s="225"/>
      <c r="H3" s="226"/>
      <c r="I3" s="221"/>
      <c r="J3" s="221"/>
      <c r="K3" s="221"/>
      <c r="L3" s="227" t="s">
        <v>222</v>
      </c>
      <c r="M3" s="228" t="s">
        <v>98</v>
      </c>
      <c r="N3" s="229" t="s">
        <v>99</v>
      </c>
      <c r="O3" s="213"/>
      <c r="P3" s="213"/>
      <c r="Q3" s="213"/>
      <c r="R3" s="213"/>
      <c r="S3" s="213"/>
      <c r="T3" s="213"/>
      <c r="U3" s="213"/>
      <c r="V3" s="213"/>
      <c r="W3" s="213"/>
      <c r="X3" s="213"/>
      <c r="Y3" s="213"/>
      <c r="Z3" s="213"/>
      <c r="AA3" s="213"/>
      <c r="AB3" s="213"/>
      <c r="AC3" s="213"/>
      <c r="AD3" s="213"/>
      <c r="AE3" s="213"/>
      <c r="AF3" s="213"/>
      <c r="AG3" s="213"/>
      <c r="AH3" s="213"/>
      <c r="AI3" s="213"/>
      <c r="AJ3" s="213"/>
    </row>
    <row r="4" spans="1:36" ht="16.5" customHeight="1" x14ac:dyDescent="0.2">
      <c r="A4" s="230" t="s">
        <v>486</v>
      </c>
      <c r="B4" s="364"/>
      <c r="D4" s="231"/>
      <c r="H4" s="226"/>
      <c r="I4" s="221"/>
      <c r="J4" s="221"/>
      <c r="K4" s="221"/>
      <c r="L4" s="232"/>
      <c r="M4" s="232"/>
      <c r="N4" s="232"/>
      <c r="O4" s="213"/>
      <c r="P4" s="213"/>
      <c r="Q4" s="213"/>
      <c r="R4" s="213"/>
      <c r="S4" s="213"/>
      <c r="T4" s="213"/>
      <c r="U4" s="213"/>
      <c r="V4" s="213"/>
      <c r="W4" s="213"/>
      <c r="X4" s="213"/>
      <c r="Y4" s="213"/>
      <c r="Z4" s="213"/>
      <c r="AA4" s="213"/>
      <c r="AB4" s="213"/>
      <c r="AC4" s="213"/>
      <c r="AD4" s="213"/>
      <c r="AE4" s="213"/>
      <c r="AF4" s="213"/>
      <c r="AG4" s="213"/>
      <c r="AH4" s="213"/>
      <c r="AI4" s="213"/>
      <c r="AJ4" s="213"/>
    </row>
    <row r="5" spans="1:36" ht="16.5" customHeight="1" x14ac:dyDescent="0.2">
      <c r="A5" s="230"/>
      <c r="H5" s="226"/>
      <c r="I5" s="221"/>
      <c r="J5" s="221"/>
      <c r="K5" s="221"/>
      <c r="L5" s="232"/>
      <c r="M5" s="232"/>
      <c r="N5" s="232"/>
      <c r="O5" s="213"/>
      <c r="P5" s="213"/>
      <c r="Q5" s="213"/>
      <c r="R5" s="213"/>
      <c r="S5" s="213"/>
      <c r="T5" s="213"/>
      <c r="U5" s="213"/>
      <c r="V5" s="213"/>
      <c r="W5" s="213"/>
      <c r="X5" s="213"/>
      <c r="Y5" s="213"/>
      <c r="Z5" s="213"/>
      <c r="AA5" s="213"/>
      <c r="AB5" s="213"/>
      <c r="AC5" s="213"/>
      <c r="AD5" s="213"/>
      <c r="AE5" s="213"/>
      <c r="AF5" s="213"/>
      <c r="AG5" s="213"/>
      <c r="AH5" s="213"/>
      <c r="AI5" s="213"/>
      <c r="AJ5" s="213"/>
    </row>
    <row r="6" spans="1:36" ht="16.5" customHeight="1" x14ac:dyDescent="0.2">
      <c r="A6" s="230" t="s">
        <v>58</v>
      </c>
      <c r="B6" s="364"/>
      <c r="C6" s="233"/>
      <c r="E6" s="230" t="s">
        <v>86</v>
      </c>
      <c r="F6" s="394"/>
      <c r="G6" s="395"/>
      <c r="H6" s="226"/>
      <c r="I6" s="221"/>
      <c r="J6" s="221"/>
      <c r="K6" s="234" t="s">
        <v>262</v>
      </c>
      <c r="L6" s="213">
        <f>IF(OR($B$6=$Z$7,$B$6,$AA$7),1,0)</f>
        <v>0</v>
      </c>
      <c r="M6" s="213">
        <f>L6</f>
        <v>0</v>
      </c>
      <c r="N6" s="213"/>
      <c r="O6" s="213"/>
      <c r="P6" s="213"/>
      <c r="Q6" s="213"/>
      <c r="R6" s="213"/>
      <c r="S6" s="213"/>
      <c r="T6" s="213"/>
      <c r="U6" s="213"/>
      <c r="V6" s="213"/>
      <c r="W6" s="213"/>
      <c r="X6" s="235"/>
      <c r="Y6" s="236"/>
      <c r="Z6" s="236"/>
      <c r="AA6" s="236"/>
      <c r="AB6" s="236"/>
      <c r="AC6" s="237"/>
      <c r="AD6" s="213"/>
      <c r="AE6" s="213"/>
      <c r="AF6" s="213"/>
      <c r="AG6" s="213"/>
      <c r="AH6" s="213"/>
      <c r="AI6" s="213"/>
      <c r="AJ6" s="213"/>
    </row>
    <row r="7" spans="1:36" ht="16.5" customHeight="1" x14ac:dyDescent="0.2">
      <c r="A7" s="238"/>
      <c r="B7" s="239"/>
      <c r="C7" s="233"/>
      <c r="E7" s="239"/>
      <c r="F7" s="233"/>
      <c r="G7" s="233"/>
      <c r="H7" s="226"/>
      <c r="I7" s="221"/>
      <c r="J7" s="221"/>
      <c r="K7" s="221"/>
      <c r="L7" s="213"/>
      <c r="M7" s="213"/>
      <c r="N7" s="213"/>
      <c r="O7" s="213"/>
      <c r="P7" s="213"/>
      <c r="Q7" s="213"/>
      <c r="R7" s="235"/>
      <c r="S7" s="236"/>
      <c r="T7" s="236"/>
      <c r="U7" s="240" t="s">
        <v>63</v>
      </c>
      <c r="V7" s="236"/>
      <c r="W7" s="237"/>
      <c r="X7" s="232" t="s">
        <v>5</v>
      </c>
      <c r="Y7" s="241" t="s">
        <v>2</v>
      </c>
      <c r="Z7" s="241" t="s">
        <v>52</v>
      </c>
      <c r="AA7" s="241" t="s">
        <v>1</v>
      </c>
      <c r="AB7" s="241" t="s">
        <v>3</v>
      </c>
      <c r="AC7" s="242" t="s">
        <v>4</v>
      </c>
      <c r="AD7" s="213"/>
      <c r="AE7" s="232" t="s">
        <v>87</v>
      </c>
      <c r="AF7" s="213"/>
      <c r="AG7" s="213"/>
      <c r="AH7" s="213"/>
      <c r="AI7" s="213"/>
      <c r="AJ7" s="213"/>
    </row>
    <row r="8" spans="1:36" ht="16.5" customHeight="1" x14ac:dyDescent="0.2">
      <c r="A8" s="230" t="s">
        <v>357</v>
      </c>
      <c r="B8" s="363"/>
      <c r="C8" s="243"/>
      <c r="E8" s="244" t="s">
        <v>239</v>
      </c>
      <c r="F8" s="398" t="s">
        <v>278</v>
      </c>
      <c r="G8" s="399"/>
      <c r="H8" s="226"/>
      <c r="I8" s="221"/>
      <c r="J8" s="221"/>
      <c r="K8" s="221"/>
      <c r="L8" s="213"/>
      <c r="M8" s="213"/>
      <c r="N8" s="213"/>
      <c r="O8" s="213"/>
      <c r="P8" s="213"/>
      <c r="Q8" s="213"/>
      <c r="R8" s="245"/>
      <c r="S8" s="213"/>
      <c r="T8" s="213"/>
      <c r="U8" s="213">
        <f ca="1">YEAR(TODAY())</f>
        <v>2024</v>
      </c>
      <c r="V8" s="213" t="s">
        <v>64</v>
      </c>
      <c r="W8" s="246"/>
      <c r="X8" s="247"/>
      <c r="Y8" s="247">
        <v>5</v>
      </c>
      <c r="Z8" s="247">
        <v>10</v>
      </c>
      <c r="AA8" s="247">
        <v>10</v>
      </c>
      <c r="AB8" s="247">
        <v>10</v>
      </c>
      <c r="AC8" s="248">
        <v>10</v>
      </c>
      <c r="AD8" s="213"/>
      <c r="AE8" s="241" t="s">
        <v>227</v>
      </c>
      <c r="AF8" s="213"/>
      <c r="AG8" s="213"/>
      <c r="AH8" s="213"/>
      <c r="AI8" s="213"/>
      <c r="AJ8" s="213"/>
    </row>
    <row r="9" spans="1:36" ht="16.5" customHeight="1" x14ac:dyDescent="0.2">
      <c r="A9" s="230" t="s">
        <v>265</v>
      </c>
      <c r="B9" s="243" t="e">
        <f>IF(S11&gt;V11,V11,S11)</f>
        <v>#N/A</v>
      </c>
      <c r="C9" s="233"/>
      <c r="E9" s="249" t="s">
        <v>362</v>
      </c>
      <c r="F9" s="400"/>
      <c r="G9" s="401"/>
      <c r="H9" s="226"/>
      <c r="I9" s="221"/>
      <c r="J9" s="221"/>
      <c r="K9" s="221"/>
      <c r="L9" s="213"/>
      <c r="M9" s="213"/>
      <c r="N9" s="213"/>
      <c r="O9" s="213"/>
      <c r="P9" s="213"/>
      <c r="Q9" s="213"/>
      <c r="R9" s="250" t="s">
        <v>53</v>
      </c>
      <c r="S9" s="213"/>
      <c r="T9" s="213"/>
      <c r="U9" s="213"/>
      <c r="V9" s="213"/>
      <c r="W9" s="246"/>
      <c r="X9" s="213"/>
      <c r="Y9" s="213"/>
      <c r="Z9" s="213"/>
      <c r="AA9" s="213"/>
      <c r="AB9" s="213"/>
      <c r="AC9" s="213"/>
      <c r="AD9" s="213"/>
      <c r="AE9" s="241" t="s">
        <v>228</v>
      </c>
      <c r="AF9" s="213"/>
      <c r="AG9" s="213"/>
      <c r="AH9" s="213"/>
      <c r="AI9" s="213"/>
      <c r="AJ9" s="213"/>
    </row>
    <row r="10" spans="1:36" ht="24.75" customHeight="1" x14ac:dyDescent="0.2">
      <c r="A10" s="251"/>
      <c r="C10" s="233"/>
      <c r="E10" s="239"/>
      <c r="F10" s="402"/>
      <c r="G10" s="403"/>
      <c r="H10" s="226"/>
      <c r="I10" s="221"/>
      <c r="J10" s="221"/>
      <c r="K10" s="221"/>
      <c r="L10" s="213"/>
      <c r="M10" s="213"/>
      <c r="N10" s="213"/>
      <c r="O10" s="213"/>
      <c r="P10" s="213"/>
      <c r="Q10" s="213"/>
      <c r="R10" s="250" t="s">
        <v>55</v>
      </c>
      <c r="S10" s="232" t="s">
        <v>54</v>
      </c>
      <c r="T10" s="213"/>
      <c r="U10" s="252" t="s">
        <v>85</v>
      </c>
      <c r="V10" s="252" t="s">
        <v>59</v>
      </c>
      <c r="W10" s="246"/>
      <c r="X10" s="213"/>
      <c r="Y10" s="253" t="s">
        <v>65</v>
      </c>
      <c r="Z10" s="254" t="s">
        <v>66</v>
      </c>
      <c r="AA10" s="254" t="s">
        <v>68</v>
      </c>
      <c r="AB10" s="255" t="s">
        <v>69</v>
      </c>
      <c r="AC10" s="213"/>
      <c r="AD10" s="213"/>
      <c r="AE10" s="241" t="s">
        <v>229</v>
      </c>
      <c r="AF10" s="213"/>
      <c r="AG10" s="213"/>
      <c r="AH10" s="213"/>
      <c r="AI10" s="213"/>
      <c r="AJ10" s="213"/>
    </row>
    <row r="11" spans="1:36" ht="6.75" customHeight="1" x14ac:dyDescent="0.2">
      <c r="A11" s="251"/>
      <c r="C11" s="233"/>
      <c r="E11" s="239"/>
      <c r="H11" s="226"/>
      <c r="I11" s="221"/>
      <c r="J11" s="221"/>
      <c r="K11" s="221"/>
      <c r="L11" s="213"/>
      <c r="M11" s="213"/>
      <c r="N11" s="213"/>
      <c r="O11" s="213"/>
      <c r="P11" s="213"/>
      <c r="Q11" s="213"/>
      <c r="R11" s="245">
        <f>B8</f>
        <v>0</v>
      </c>
      <c r="S11" s="213" t="e">
        <f>R11+HLOOKUP($B$6,$Y$7:$AC$8,2,FALSE)</f>
        <v>#N/A</v>
      </c>
      <c r="T11" s="213"/>
      <c r="U11" s="214">
        <v>2018</v>
      </c>
      <c r="V11" s="214">
        <v>2040</v>
      </c>
      <c r="W11" s="246" t="s">
        <v>61</v>
      </c>
      <c r="X11" s="213"/>
      <c r="Y11" s="245" t="s">
        <v>67</v>
      </c>
      <c r="Z11" s="213" t="s">
        <v>67</v>
      </c>
      <c r="AA11" s="213"/>
      <c r="AB11" s="246"/>
      <c r="AC11" s="213"/>
      <c r="AD11" s="213"/>
      <c r="AE11" s="241" t="s">
        <v>91</v>
      </c>
      <c r="AF11" s="213"/>
      <c r="AG11" s="213"/>
      <c r="AH11" s="213"/>
      <c r="AI11" s="213"/>
      <c r="AJ11" s="213"/>
    </row>
    <row r="12" spans="1:36" ht="20.25" customHeight="1" x14ac:dyDescent="0.2">
      <c r="A12" s="256" t="s">
        <v>352</v>
      </c>
      <c r="B12" s="404"/>
      <c r="C12" s="405"/>
      <c r="E12" s="257" t="s">
        <v>277</v>
      </c>
      <c r="F12" s="258" t="s">
        <v>322</v>
      </c>
      <c r="G12" s="258" t="s">
        <v>323</v>
      </c>
      <c r="H12" s="259" t="s">
        <v>219</v>
      </c>
      <c r="I12" s="221"/>
      <c r="J12" s="221"/>
      <c r="K12" s="221"/>
      <c r="L12" s="213"/>
      <c r="M12" s="213"/>
      <c r="N12" s="213"/>
      <c r="O12" s="213"/>
      <c r="P12" s="213"/>
      <c r="Q12" s="213"/>
      <c r="R12" s="245"/>
      <c r="S12" s="213"/>
      <c r="T12" s="213"/>
      <c r="U12" s="213"/>
      <c r="V12" s="213"/>
      <c r="W12" s="246"/>
      <c r="X12" s="213"/>
      <c r="Y12" s="245" t="s">
        <v>67</v>
      </c>
      <c r="Z12" s="213" t="s">
        <v>7</v>
      </c>
      <c r="AA12" s="213"/>
      <c r="AB12" s="246"/>
      <c r="AC12" s="213"/>
      <c r="AD12" s="213"/>
      <c r="AE12" s="241" t="s">
        <v>90</v>
      </c>
      <c r="AF12" s="213"/>
      <c r="AG12" s="213"/>
      <c r="AH12" s="213"/>
      <c r="AI12" s="213"/>
      <c r="AJ12" s="213"/>
    </row>
    <row r="13" spans="1:36" ht="16.5" customHeight="1" x14ac:dyDescent="0.2">
      <c r="A13" s="260" t="s">
        <v>347</v>
      </c>
      <c r="B13" s="406"/>
      <c r="C13" s="407"/>
      <c r="E13" s="261" t="s">
        <v>221</v>
      </c>
      <c r="F13" s="262">
        <f>'Grundlagen Verkehr'!B80</f>
        <v>0</v>
      </c>
      <c r="G13" s="262">
        <f>'Grundlagen Verkehr'!C80</f>
        <v>0</v>
      </c>
      <c r="H13" s="263">
        <f>'Grundlagen Verkehr'!D80</f>
        <v>0</v>
      </c>
      <c r="I13" s="221"/>
      <c r="J13" s="221"/>
      <c r="K13" s="221"/>
      <c r="L13" s="213"/>
      <c r="M13" s="213"/>
      <c r="N13" s="213"/>
      <c r="O13" s="213"/>
      <c r="P13" s="213"/>
      <c r="Q13" s="213"/>
      <c r="R13" s="245"/>
      <c r="S13" s="213"/>
      <c r="T13" s="213"/>
      <c r="U13" s="213"/>
      <c r="V13" s="213"/>
      <c r="W13" s="246"/>
      <c r="X13" s="213"/>
      <c r="Y13" s="245" t="s">
        <v>7</v>
      </c>
      <c r="Z13" s="213" t="s">
        <v>67</v>
      </c>
      <c r="AA13" s="213"/>
      <c r="AB13" s="246"/>
      <c r="AC13" s="213"/>
      <c r="AD13" s="213"/>
      <c r="AE13" s="241" t="s">
        <v>223</v>
      </c>
      <c r="AF13" s="213"/>
      <c r="AG13" s="213"/>
      <c r="AH13" s="213"/>
      <c r="AI13" s="213"/>
      <c r="AJ13" s="213"/>
    </row>
    <row r="14" spans="1:36" ht="16.5" customHeight="1" x14ac:dyDescent="0.2">
      <c r="A14" s="260" t="s">
        <v>348</v>
      </c>
      <c r="B14" s="406"/>
      <c r="C14" s="407"/>
      <c r="E14" s="239"/>
      <c r="F14" s="258" t="s">
        <v>322</v>
      </c>
      <c r="G14" s="264" t="s">
        <v>324</v>
      </c>
      <c r="H14" s="226"/>
      <c r="I14" s="221"/>
      <c r="J14" s="221"/>
      <c r="K14" s="221"/>
      <c r="L14" s="213"/>
      <c r="M14" s="213"/>
      <c r="N14" s="213"/>
      <c r="O14" s="213"/>
      <c r="P14" s="213"/>
      <c r="Q14" s="213"/>
      <c r="R14" s="265" t="s">
        <v>60</v>
      </c>
      <c r="S14" s="266" t="str">
        <f>IF(ABS($V$11-R11)&lt;=5,$S$23,$T$23)</f>
        <v>Nein</v>
      </c>
      <c r="T14" s="213" t="str">
        <f>IF(S14=$S$23,"Sie können direkt den Referenzzustand als Beurteilungszeitpunkt verwenden, es sind keine Umrechnungen notwendig","Bitte verwenden Sie einen der oben angegebenen Beurteilungszeitpunkte")</f>
        <v>Bitte verwenden Sie einen der oben angegebenen Beurteilungszeitpunkte</v>
      </c>
      <c r="U14" s="213"/>
      <c r="V14" s="213"/>
      <c r="W14" s="246"/>
      <c r="X14" s="213"/>
      <c r="Y14" s="245" t="s">
        <v>7</v>
      </c>
      <c r="Z14" s="213" t="s">
        <v>7</v>
      </c>
      <c r="AA14" s="213"/>
      <c r="AB14" s="246"/>
      <c r="AC14" s="213"/>
      <c r="AD14" s="213"/>
      <c r="AE14" s="241" t="s">
        <v>224</v>
      </c>
      <c r="AF14" s="213"/>
      <c r="AG14" s="213"/>
      <c r="AH14" s="213"/>
      <c r="AI14" s="213"/>
      <c r="AJ14" s="213"/>
    </row>
    <row r="15" spans="1:36" ht="16.5" customHeight="1" x14ac:dyDescent="0.2">
      <c r="A15" s="251"/>
      <c r="B15" s="406"/>
      <c r="C15" s="407"/>
      <c r="E15" s="267" t="s">
        <v>220</v>
      </c>
      <c r="F15" s="262">
        <f>'Grundlagen Verkehr'!B81</f>
        <v>0</v>
      </c>
      <c r="G15" s="268">
        <f>'Grundlagen Verkehr'!C14</f>
        <v>0</v>
      </c>
      <c r="H15" s="226"/>
      <c r="I15" s="221"/>
      <c r="J15" s="221"/>
      <c r="K15" s="221"/>
      <c r="L15" s="213"/>
      <c r="M15" s="213"/>
      <c r="N15" s="213"/>
      <c r="O15" s="213"/>
      <c r="P15" s="213"/>
      <c r="Q15" s="213"/>
      <c r="R15" s="265" t="s">
        <v>62</v>
      </c>
      <c r="S15" s="266" t="str">
        <f ca="1">IF(B8-U8&lt;=5,$S$23,$T$23)</f>
        <v xml:space="preserve">Ja </v>
      </c>
      <c r="T15" s="213" t="str">
        <f ca="1">IF(S15=$S$23,"Bitte verwenden Sie die aktuelle Verkehrszählung plus X% pro Jahr zur Bestimmung der Belastung im Prognosefall","Bitte verwenden Sie die lineare Interpolation zwischen Ist- und Referenzzustand zur Bestimmung der Belastung im Prognosefall")</f>
        <v>Bitte verwenden Sie die aktuelle Verkehrszählung plus X% pro Jahr zur Bestimmung der Belastung im Prognosefall</v>
      </c>
      <c r="U15" s="213"/>
      <c r="V15" s="213"/>
      <c r="W15" s="246"/>
      <c r="X15" s="213"/>
      <c r="Y15" s="269"/>
      <c r="Z15" s="247"/>
      <c r="AA15" s="247"/>
      <c r="AB15" s="248"/>
      <c r="AC15" s="213"/>
      <c r="AD15" s="213"/>
      <c r="AE15" s="241" t="s">
        <v>225</v>
      </c>
      <c r="AF15" s="213"/>
      <c r="AG15" s="213"/>
      <c r="AH15" s="213"/>
      <c r="AI15" s="213"/>
      <c r="AJ15" s="213"/>
    </row>
    <row r="16" spans="1:36" ht="15.75" customHeight="1" x14ac:dyDescent="0.2">
      <c r="A16" s="251"/>
      <c r="B16" s="408"/>
      <c r="C16" s="409"/>
      <c r="E16" s="270" t="s">
        <v>300</v>
      </c>
      <c r="F16" s="271">
        <f>'Grundlagen Verkehr'!B273</f>
        <v>0</v>
      </c>
      <c r="G16" s="272" t="s">
        <v>329</v>
      </c>
      <c r="H16" s="226"/>
      <c r="I16" s="221" t="s">
        <v>487</v>
      </c>
      <c r="J16" s="221"/>
      <c r="K16" s="221"/>
      <c r="L16" s="213"/>
      <c r="M16" s="213"/>
      <c r="N16" s="213"/>
      <c r="O16" s="213"/>
      <c r="P16" s="213"/>
      <c r="Q16" s="213"/>
      <c r="R16" s="269"/>
      <c r="S16" s="247"/>
      <c r="T16" s="247"/>
      <c r="U16" s="247"/>
      <c r="V16" s="247"/>
      <c r="W16" s="248"/>
      <c r="X16" s="213"/>
      <c r="Y16" s="213"/>
      <c r="Z16" s="213"/>
      <c r="AA16" s="213"/>
      <c r="AB16" s="213"/>
      <c r="AC16" s="213"/>
      <c r="AD16" s="213"/>
      <c r="AE16" s="241" t="s">
        <v>230</v>
      </c>
      <c r="AF16" s="213"/>
      <c r="AG16" s="213"/>
      <c r="AH16" s="213"/>
      <c r="AI16" s="213"/>
      <c r="AJ16" s="213"/>
    </row>
    <row r="17" spans="1:36" ht="16.5" customHeight="1" x14ac:dyDescent="0.2">
      <c r="A17" s="273"/>
      <c r="B17" s="274"/>
      <c r="C17" s="274"/>
      <c r="D17" s="274"/>
      <c r="E17" s="274"/>
      <c r="F17" s="274"/>
      <c r="G17" s="274"/>
      <c r="H17" s="275"/>
      <c r="I17" s="221"/>
      <c r="J17" s="221"/>
      <c r="K17" s="221"/>
      <c r="L17" s="213"/>
      <c r="M17" s="213"/>
      <c r="N17" s="213"/>
      <c r="O17" s="213"/>
      <c r="P17" s="213"/>
      <c r="Q17" s="213"/>
      <c r="R17" s="213"/>
      <c r="S17" s="213"/>
      <c r="T17" s="213"/>
      <c r="U17" s="213"/>
      <c r="V17" s="213"/>
      <c r="W17" s="213"/>
      <c r="X17" s="213"/>
      <c r="Y17" s="213"/>
      <c r="Z17" s="213"/>
      <c r="AA17" s="213"/>
      <c r="AB17" s="213"/>
      <c r="AC17" s="213"/>
      <c r="AD17" s="213"/>
      <c r="AE17" s="241" t="s">
        <v>226</v>
      </c>
      <c r="AF17" s="213"/>
      <c r="AG17" s="213"/>
      <c r="AH17" s="213"/>
      <c r="AI17" s="213"/>
      <c r="AJ17" s="213"/>
    </row>
    <row r="18" spans="1:36" ht="16.5" customHeight="1" x14ac:dyDescent="0.2">
      <c r="A18" s="15"/>
      <c r="I18" s="221"/>
      <c r="J18" s="221"/>
      <c r="K18" s="221"/>
      <c r="L18" s="213"/>
      <c r="M18" s="213"/>
      <c r="N18" s="213"/>
      <c r="O18" s="213"/>
      <c r="P18" s="213"/>
      <c r="Q18" s="213"/>
      <c r="R18" s="213"/>
      <c r="S18" s="213"/>
      <c r="T18" s="213"/>
      <c r="U18" s="213"/>
      <c r="V18" s="213"/>
      <c r="W18" s="213"/>
      <c r="X18" s="213"/>
      <c r="Y18" s="213"/>
      <c r="Z18" s="213"/>
      <c r="AA18" s="213"/>
      <c r="AB18" s="213"/>
      <c r="AC18" s="213"/>
      <c r="AD18" s="213"/>
      <c r="AE18" s="241"/>
      <c r="AF18" s="213"/>
      <c r="AG18" s="213"/>
      <c r="AH18" s="213"/>
      <c r="AI18" s="213"/>
      <c r="AJ18" s="213"/>
    </row>
    <row r="19" spans="1:36" ht="16.5" customHeight="1" x14ac:dyDescent="0.2">
      <c r="A19" s="276"/>
      <c r="B19" s="277"/>
      <c r="C19" s="277"/>
      <c r="D19" s="277"/>
      <c r="E19" s="277"/>
      <c r="F19" s="277"/>
      <c r="G19" s="277"/>
      <c r="H19" s="278"/>
      <c r="I19" s="221"/>
      <c r="J19" s="221"/>
      <c r="K19" s="221"/>
      <c r="L19" s="213"/>
      <c r="M19" s="213"/>
      <c r="N19" s="213"/>
      <c r="O19" s="213"/>
      <c r="P19" s="213"/>
      <c r="Q19" s="213"/>
      <c r="R19" s="213"/>
      <c r="S19" s="213"/>
      <c r="T19" s="213"/>
      <c r="U19" s="213"/>
      <c r="V19" s="213"/>
      <c r="W19" s="213"/>
      <c r="X19" s="213"/>
      <c r="Y19" s="213"/>
      <c r="Z19" s="213"/>
      <c r="AA19" s="213"/>
      <c r="AB19" s="213"/>
      <c r="AC19" s="213"/>
      <c r="AD19" s="213"/>
      <c r="AE19" s="241"/>
      <c r="AF19" s="213"/>
      <c r="AG19" s="213"/>
      <c r="AH19" s="213"/>
      <c r="AI19" s="213"/>
      <c r="AJ19" s="213"/>
    </row>
    <row r="20" spans="1:36" ht="16.5" customHeight="1" x14ac:dyDescent="0.2">
      <c r="A20" s="256" t="s">
        <v>483</v>
      </c>
      <c r="C20" s="279" t="s">
        <v>474</v>
      </c>
      <c r="D20" s="363"/>
      <c r="E20" s="279" t="s">
        <v>475</v>
      </c>
      <c r="F20" s="363"/>
      <c r="G20" s="280" t="s">
        <v>488</v>
      </c>
      <c r="H20" s="226"/>
      <c r="I20" s="221"/>
      <c r="J20" s="281"/>
      <c r="K20" s="221"/>
      <c r="L20" s="213"/>
      <c r="M20" s="213"/>
      <c r="N20" s="213"/>
      <c r="O20" s="213"/>
      <c r="P20" s="213"/>
      <c r="Q20" s="213"/>
      <c r="R20" s="213"/>
      <c r="S20" s="213"/>
      <c r="T20" s="213"/>
      <c r="U20" s="213"/>
      <c r="V20" s="213"/>
      <c r="W20" s="213"/>
      <c r="X20" s="213"/>
      <c r="Y20" s="213"/>
      <c r="Z20" s="213"/>
      <c r="AA20" s="213"/>
      <c r="AB20" s="213"/>
      <c r="AC20" s="213"/>
      <c r="AD20" s="213"/>
      <c r="AE20" s="241"/>
      <c r="AF20" s="213"/>
      <c r="AG20" s="213"/>
      <c r="AH20" s="213"/>
      <c r="AI20" s="213"/>
      <c r="AJ20" s="213"/>
    </row>
    <row r="21" spans="1:36" ht="16.5" customHeight="1" x14ac:dyDescent="0.2">
      <c r="A21" s="273"/>
      <c r="B21" s="274"/>
      <c r="C21" s="274"/>
      <c r="D21" s="274"/>
      <c r="E21" s="274"/>
      <c r="F21" s="274"/>
      <c r="G21" s="274"/>
      <c r="H21" s="275"/>
      <c r="I21" s="221"/>
      <c r="J21" s="221"/>
      <c r="K21" s="221"/>
      <c r="L21" s="213"/>
      <c r="M21" s="213"/>
      <c r="N21" s="213"/>
      <c r="O21" s="213"/>
      <c r="P21" s="213"/>
      <c r="Q21" s="213"/>
      <c r="R21" s="213"/>
      <c r="S21" s="213"/>
      <c r="T21" s="213"/>
      <c r="U21" s="213"/>
      <c r="V21" s="213"/>
      <c r="W21" s="213"/>
      <c r="X21" s="213"/>
      <c r="Y21" s="213"/>
      <c r="Z21" s="213"/>
      <c r="AA21" s="213"/>
      <c r="AB21" s="213"/>
      <c r="AC21" s="213"/>
      <c r="AD21" s="213"/>
      <c r="AE21" s="241"/>
      <c r="AF21" s="213"/>
      <c r="AG21" s="213"/>
      <c r="AH21" s="213"/>
      <c r="AI21" s="213"/>
      <c r="AJ21" s="213"/>
    </row>
    <row r="22" spans="1:36" ht="16.5" customHeight="1" x14ac:dyDescent="0.2">
      <c r="I22" s="221"/>
      <c r="J22" s="221"/>
      <c r="K22" s="221"/>
      <c r="L22" s="213"/>
      <c r="M22" s="213"/>
      <c r="N22" s="213"/>
      <c r="O22" s="213"/>
      <c r="P22" s="213"/>
      <c r="Q22" s="213"/>
      <c r="R22" s="213"/>
      <c r="S22" s="213"/>
      <c r="T22" s="213"/>
      <c r="U22" s="213"/>
      <c r="V22" s="213"/>
      <c r="W22" s="213"/>
      <c r="X22" s="213"/>
      <c r="Y22" s="213"/>
      <c r="Z22" s="213"/>
      <c r="AA22" s="213"/>
      <c r="AB22" s="213"/>
      <c r="AC22" s="213"/>
      <c r="AD22" s="213"/>
      <c r="AE22" s="241" t="s">
        <v>231</v>
      </c>
      <c r="AF22" s="213"/>
      <c r="AG22" s="213"/>
      <c r="AH22" s="213"/>
      <c r="AI22" s="213"/>
      <c r="AJ22" s="213"/>
    </row>
    <row r="23" spans="1:36" ht="16.5" customHeight="1" x14ac:dyDescent="0.2">
      <c r="A23" s="282" t="s">
        <v>363</v>
      </c>
      <c r="B23" s="283"/>
      <c r="C23" s="223"/>
      <c r="D23" s="223"/>
      <c r="E23" s="223"/>
      <c r="F23" s="223"/>
      <c r="G23" s="223"/>
      <c r="H23" s="224"/>
      <c r="I23" s="221"/>
      <c r="J23" s="221"/>
      <c r="K23" s="221"/>
      <c r="L23" s="213"/>
      <c r="M23" s="213"/>
      <c r="N23" s="213"/>
      <c r="O23" s="213"/>
      <c r="P23" s="213"/>
      <c r="Q23" s="213"/>
      <c r="R23" s="232" t="s">
        <v>56</v>
      </c>
      <c r="S23" s="241" t="s">
        <v>6</v>
      </c>
      <c r="T23" s="241" t="s">
        <v>7</v>
      </c>
      <c r="U23" s="241" t="s">
        <v>57</v>
      </c>
      <c r="V23" s="213"/>
      <c r="W23" s="213"/>
      <c r="X23" s="213"/>
      <c r="Y23" s="213"/>
      <c r="Z23" s="213"/>
      <c r="AA23" s="213"/>
      <c r="AB23" s="213"/>
      <c r="AC23" s="213"/>
      <c r="AD23" s="213"/>
      <c r="AE23" s="241" t="s">
        <v>89</v>
      </c>
      <c r="AF23" s="213"/>
      <c r="AG23" s="213"/>
      <c r="AH23" s="213"/>
      <c r="AI23" s="213"/>
      <c r="AJ23" s="213"/>
    </row>
    <row r="24" spans="1:36" ht="16.5" customHeight="1" x14ac:dyDescent="0.2">
      <c r="A24" s="284"/>
      <c r="B24" s="4"/>
      <c r="C24" s="285"/>
      <c r="H24" s="226"/>
      <c r="I24" s="221"/>
      <c r="J24" s="221"/>
      <c r="K24" s="221"/>
      <c r="L24" s="213"/>
      <c r="M24" s="213"/>
      <c r="N24" s="213"/>
      <c r="O24" s="213"/>
      <c r="P24" s="213"/>
      <c r="Q24" s="213"/>
      <c r="R24" s="213"/>
      <c r="S24" s="213"/>
      <c r="T24" s="213"/>
      <c r="U24" s="253" t="s">
        <v>102</v>
      </c>
      <c r="V24" s="236"/>
      <c r="W24" s="236"/>
      <c r="X24" s="237"/>
      <c r="Y24" s="213"/>
      <c r="Z24" s="213"/>
      <c r="AA24" s="213"/>
      <c r="AB24" s="213"/>
      <c r="AC24" s="213"/>
      <c r="AD24" s="213"/>
      <c r="AE24" s="241" t="s">
        <v>88</v>
      </c>
      <c r="AF24" s="213"/>
      <c r="AG24" s="213"/>
      <c r="AH24" s="213"/>
      <c r="AI24" s="213"/>
      <c r="AJ24" s="213"/>
    </row>
    <row r="25" spans="1:36" ht="25.5" customHeight="1" x14ac:dyDescent="0.2">
      <c r="A25" s="387" t="s">
        <v>353</v>
      </c>
      <c r="B25" s="388"/>
      <c r="C25" s="365"/>
      <c r="D25" s="384" t="str">
        <f>IF(C25=$U$23,$U25,IF(C25="",$U25,""))</f>
        <v>Bitte konsultieren Sie §32 des kantonalen Strassengesetzes (StrG).</v>
      </c>
      <c r="E25" s="385"/>
      <c r="F25" s="385"/>
      <c r="G25" s="385"/>
      <c r="H25" s="226"/>
      <c r="I25" s="221"/>
      <c r="J25" s="221"/>
      <c r="K25" s="221"/>
      <c r="L25" s="213"/>
      <c r="M25" s="213"/>
      <c r="N25" s="213"/>
      <c r="O25" s="213"/>
      <c r="P25" s="213"/>
      <c r="Q25" s="213"/>
      <c r="R25" s="213"/>
      <c r="S25" s="213"/>
      <c r="T25" s="213"/>
      <c r="U25" s="245" t="s">
        <v>354</v>
      </c>
      <c r="V25" s="213"/>
      <c r="W25" s="213"/>
      <c r="X25" s="246"/>
      <c r="Y25" s="213"/>
      <c r="Z25" s="213"/>
      <c r="AA25" s="213"/>
      <c r="AB25" s="213"/>
      <c r="AC25" s="213"/>
      <c r="AD25" s="213"/>
      <c r="AE25" s="241" t="s">
        <v>93</v>
      </c>
      <c r="AF25" s="213"/>
      <c r="AG25" s="213"/>
      <c r="AH25" s="213"/>
      <c r="AI25" s="213"/>
      <c r="AJ25" s="213"/>
    </row>
    <row r="26" spans="1:36" ht="25.5" customHeight="1" x14ac:dyDescent="0.2">
      <c r="A26" s="387" t="s">
        <v>364</v>
      </c>
      <c r="B26" s="388"/>
      <c r="C26" s="366"/>
      <c r="D26" s="384" t="str">
        <f>IF(C26=$U$23,$U26,IF(C26="",$U26,""))</f>
        <v>Bitte informieren Sie sich bei der Standortgemeinde.</v>
      </c>
      <c r="E26" s="385"/>
      <c r="F26" s="385"/>
      <c r="G26" s="385"/>
      <c r="H26" s="226"/>
      <c r="I26" s="221"/>
      <c r="J26" s="221"/>
      <c r="K26" s="287" t="s">
        <v>340</v>
      </c>
      <c r="L26" s="288" t="s">
        <v>222</v>
      </c>
      <c r="M26" s="288" t="s">
        <v>98</v>
      </c>
      <c r="N26" s="288" t="s">
        <v>99</v>
      </c>
      <c r="O26" s="213"/>
      <c r="P26" s="213"/>
      <c r="Q26" s="213"/>
      <c r="R26" s="213"/>
      <c r="S26" s="213"/>
      <c r="T26" s="213"/>
      <c r="U26" s="245" t="s">
        <v>95</v>
      </c>
      <c r="V26" s="213"/>
      <c r="W26" s="213"/>
      <c r="X26" s="246"/>
      <c r="Y26" s="213"/>
      <c r="Z26" s="213"/>
      <c r="AA26" s="213"/>
      <c r="AB26" s="213"/>
      <c r="AC26" s="213"/>
      <c r="AD26" s="213"/>
      <c r="AE26" s="241" t="s">
        <v>92</v>
      </c>
      <c r="AF26" s="213"/>
      <c r="AG26" s="213"/>
      <c r="AH26" s="213"/>
      <c r="AI26" s="213"/>
      <c r="AJ26" s="213"/>
    </row>
    <row r="27" spans="1:36" ht="25.5" customHeight="1" x14ac:dyDescent="0.2">
      <c r="A27" s="387" t="s">
        <v>330</v>
      </c>
      <c r="B27" s="388"/>
      <c r="C27" s="365"/>
      <c r="D27" s="384" t="str">
        <f>IF(C27=$U$23,$U27,IF(C27="",$U27,""))</f>
        <v>Bitte prüfen Sie die Voraussetzungen in §169 im kantonalen Planungs- und Baugesetz (PBG).</v>
      </c>
      <c r="E27" s="385"/>
      <c r="F27" s="385"/>
      <c r="G27" s="385"/>
      <c r="H27" s="226"/>
      <c r="I27" s="221"/>
      <c r="J27" s="221"/>
      <c r="K27" s="234" t="s">
        <v>339</v>
      </c>
      <c r="L27" s="213">
        <f>IF(C27=$S$23,1,0)</f>
        <v>0</v>
      </c>
      <c r="M27" s="213">
        <f>L27</f>
        <v>0</v>
      </c>
      <c r="N27" s="213">
        <f>L27</f>
        <v>0</v>
      </c>
      <c r="O27" s="213"/>
      <c r="P27" s="213"/>
      <c r="Q27" s="213"/>
      <c r="R27" s="213"/>
      <c r="S27" s="213"/>
      <c r="T27" s="213"/>
      <c r="U27" s="245" t="s">
        <v>355</v>
      </c>
      <c r="V27" s="213"/>
      <c r="W27" s="213"/>
      <c r="X27" s="246"/>
      <c r="Y27" s="213"/>
      <c r="Z27" s="213"/>
      <c r="AA27" s="213"/>
      <c r="AB27" s="213"/>
      <c r="AC27" s="213"/>
      <c r="AD27" s="213"/>
      <c r="AE27" s="241" t="s">
        <v>232</v>
      </c>
      <c r="AF27" s="213"/>
      <c r="AG27" s="213"/>
      <c r="AH27" s="213"/>
      <c r="AI27" s="213"/>
      <c r="AJ27" s="213"/>
    </row>
    <row r="28" spans="1:36" ht="7.5" customHeight="1" x14ac:dyDescent="0.2">
      <c r="A28" s="289"/>
      <c r="B28" s="290"/>
      <c r="C28" s="290"/>
      <c r="D28" s="286"/>
      <c r="E28" s="291"/>
      <c r="F28" s="291"/>
      <c r="H28" s="226"/>
      <c r="I28" s="221"/>
      <c r="J28" s="221"/>
      <c r="K28" s="221"/>
      <c r="L28" s="213"/>
      <c r="M28" s="213"/>
      <c r="N28" s="213"/>
      <c r="O28" s="213"/>
      <c r="P28" s="213"/>
      <c r="Q28" s="213"/>
      <c r="R28" s="213"/>
      <c r="S28" s="213"/>
      <c r="T28" s="213"/>
      <c r="U28" s="245"/>
      <c r="V28" s="213"/>
      <c r="W28" s="213"/>
      <c r="X28" s="246"/>
      <c r="Y28" s="213"/>
      <c r="Z28" s="213"/>
      <c r="AA28" s="213"/>
      <c r="AB28" s="213"/>
      <c r="AC28" s="213"/>
      <c r="AD28" s="213"/>
      <c r="AE28" s="241" t="s">
        <v>233</v>
      </c>
      <c r="AF28" s="213"/>
      <c r="AG28" s="213"/>
      <c r="AH28" s="213"/>
      <c r="AI28" s="213"/>
      <c r="AJ28" s="213"/>
    </row>
    <row r="29" spans="1:36" ht="32.25" customHeight="1" x14ac:dyDescent="0.2">
      <c r="A29" s="292" t="s">
        <v>325</v>
      </c>
      <c r="B29" s="293" t="s">
        <v>356</v>
      </c>
      <c r="C29" s="294" t="s">
        <v>304</v>
      </c>
      <c r="D29" s="294" t="s">
        <v>305</v>
      </c>
      <c r="H29" s="226"/>
      <c r="I29" s="221"/>
      <c r="J29" s="221"/>
      <c r="K29" s="221"/>
      <c r="L29" s="213"/>
      <c r="M29" s="213"/>
      <c r="N29" s="213"/>
      <c r="O29" s="295" t="s">
        <v>346</v>
      </c>
      <c r="P29" s="295" t="s">
        <v>345</v>
      </c>
      <c r="Q29" s="288" t="s">
        <v>296</v>
      </c>
      <c r="R29" s="232"/>
      <c r="S29" s="213"/>
      <c r="T29" s="213"/>
      <c r="U29" s="245"/>
      <c r="V29" s="213"/>
      <c r="W29" s="213"/>
      <c r="X29" s="246"/>
      <c r="Y29" s="213"/>
      <c r="Z29" s="213"/>
      <c r="AA29" s="213"/>
      <c r="AB29" s="213"/>
      <c r="AC29" s="213"/>
      <c r="AD29" s="213"/>
      <c r="AE29" s="241" t="s">
        <v>234</v>
      </c>
      <c r="AF29" s="213"/>
      <c r="AG29" s="213"/>
      <c r="AH29" s="213"/>
      <c r="AI29" s="213"/>
      <c r="AJ29" s="213"/>
    </row>
    <row r="30" spans="1:36" ht="22.5" customHeight="1" x14ac:dyDescent="0.2">
      <c r="A30" s="367"/>
      <c r="B30" s="368"/>
      <c r="C30" s="365"/>
      <c r="D30" s="365"/>
      <c r="E30" s="391" t="str">
        <f>IF(A30&lt;&gt;"",IF(OR(C30="",D30="",C30=$AA$35,D30=$AA$35),$U30,""),"Bitte geben Sie mindestens einen Knoten an.")</f>
        <v>Bitte geben Sie mindestens einen Knoten an.</v>
      </c>
      <c r="F30" s="392"/>
      <c r="G30" s="392"/>
      <c r="H30" s="226"/>
      <c r="I30" s="221"/>
      <c r="J30" s="221"/>
      <c r="K30" s="296" t="s">
        <v>341</v>
      </c>
      <c r="L30" s="213"/>
      <c r="M30" s="213"/>
      <c r="N30" s="213"/>
      <c r="O30" s="213">
        <f>IFERROR(IF(MATCH($C30,$U$35:$AA$35,0)&lt;=3,0,1),0)</f>
        <v>0</v>
      </c>
      <c r="P30" s="213">
        <f>IFERROR(IF(MATCH($D30,$U$35:$AA$35,0)&lt;=3,0,1),0)</f>
        <v>0</v>
      </c>
      <c r="Q30" s="252">
        <f>IF(O30+P30&gt;0,1,0)</f>
        <v>0</v>
      </c>
      <c r="R30" s="213"/>
      <c r="S30" s="213"/>
      <c r="T30" s="213"/>
      <c r="U30" s="245" t="s">
        <v>303</v>
      </c>
      <c r="V30" s="213"/>
      <c r="W30" s="213"/>
      <c r="X30" s="246"/>
      <c r="Y30" s="213"/>
      <c r="Z30" s="213"/>
      <c r="AA30" s="213"/>
      <c r="AB30" s="213"/>
      <c r="AC30" s="213"/>
      <c r="AD30" s="213"/>
      <c r="AE30" s="241" t="s">
        <v>235</v>
      </c>
      <c r="AF30" s="213"/>
      <c r="AG30" s="213"/>
      <c r="AH30" s="213"/>
      <c r="AI30" s="213"/>
      <c r="AJ30" s="213"/>
    </row>
    <row r="31" spans="1:36" ht="22.5" customHeight="1" x14ac:dyDescent="0.2">
      <c r="A31" s="367"/>
      <c r="B31" s="368"/>
      <c r="C31" s="365"/>
      <c r="D31" s="365"/>
      <c r="E31" s="391" t="str">
        <f>IF(A31&lt;&gt;"",IF(OR(C31="",D31="",C31=$AA$35,D31=$AA$35),$U31,""),"Bitte geben Sie bei Bedarf eine weitere Knotenbezeichnung ein.")</f>
        <v>Bitte geben Sie bei Bedarf eine weitere Knotenbezeichnung ein.</v>
      </c>
      <c r="F31" s="392"/>
      <c r="G31" s="392"/>
      <c r="H31" s="226"/>
      <c r="I31" s="221"/>
      <c r="J31" s="221"/>
      <c r="K31" s="296" t="s">
        <v>342</v>
      </c>
      <c r="L31" s="213"/>
      <c r="M31" s="213"/>
      <c r="N31" s="213"/>
      <c r="O31" s="213">
        <f>IFERROR(IF(MATCH($C31,$U$35:$AA$35,0)&lt;=3,0,1),0)</f>
        <v>0</v>
      </c>
      <c r="P31" s="213">
        <f>IFERROR(IF(MATCH($D31,$U$35:$AA$35,0)&lt;=3,0,1),0)</f>
        <v>0</v>
      </c>
      <c r="Q31" s="252">
        <f>IF(O31+P31&gt;0,1,0)</f>
        <v>0</v>
      </c>
      <c r="R31" s="213"/>
      <c r="S31" s="213"/>
      <c r="T31" s="213"/>
      <c r="U31" s="245" t="s">
        <v>303</v>
      </c>
      <c r="V31" s="213"/>
      <c r="W31" s="213"/>
      <c r="X31" s="246"/>
      <c r="Y31" s="213"/>
      <c r="Z31" s="213"/>
      <c r="AA31" s="213"/>
      <c r="AB31" s="213"/>
      <c r="AC31" s="213"/>
      <c r="AD31" s="213"/>
      <c r="AE31" s="241"/>
      <c r="AF31" s="213"/>
      <c r="AG31" s="213"/>
      <c r="AH31" s="213"/>
      <c r="AI31" s="213"/>
      <c r="AJ31" s="213"/>
    </row>
    <row r="32" spans="1:36" ht="22.5" customHeight="1" x14ac:dyDescent="0.2">
      <c r="A32" s="367"/>
      <c r="B32" s="368"/>
      <c r="C32" s="365"/>
      <c r="D32" s="365"/>
      <c r="E32" s="391" t="str">
        <f>IF(A32&lt;&gt;"",IF(OR(C32="",D32="",C32=$AA$35,D32=$AA$35),$U32,""),"Bitte geben Sie bei Bedarf eine weitere Knotenbezeichnung ein.")</f>
        <v>Bitte geben Sie bei Bedarf eine weitere Knotenbezeichnung ein.</v>
      </c>
      <c r="F32" s="392"/>
      <c r="G32" s="392"/>
      <c r="H32" s="226"/>
      <c r="I32" s="221"/>
      <c r="J32" s="221"/>
      <c r="K32" s="296" t="s">
        <v>343</v>
      </c>
      <c r="L32" s="213"/>
      <c r="M32" s="213"/>
      <c r="N32" s="213"/>
      <c r="O32" s="213">
        <f>IFERROR(IF(MATCH($C32,$U$35:$AA$35,0)&lt;=3,0,1),0)</f>
        <v>0</v>
      </c>
      <c r="P32" s="213">
        <f>IFERROR(IF(MATCH($D32,$U$35:$AA$35,0)&lt;=3,0,1),0)</f>
        <v>0</v>
      </c>
      <c r="Q32" s="252">
        <f>IF(O32+P32&gt;0,1,0)</f>
        <v>0</v>
      </c>
      <c r="R32" s="213"/>
      <c r="S32" s="213"/>
      <c r="T32" s="213"/>
      <c r="U32" s="245" t="s">
        <v>303</v>
      </c>
      <c r="V32" s="213"/>
      <c r="W32" s="213"/>
      <c r="X32" s="246"/>
      <c r="Y32" s="213"/>
      <c r="Z32" s="213"/>
      <c r="AA32" s="213"/>
      <c r="AB32" s="213"/>
      <c r="AC32" s="213"/>
      <c r="AD32" s="213"/>
      <c r="AE32" s="241"/>
      <c r="AF32" s="213"/>
      <c r="AG32" s="213"/>
      <c r="AH32" s="213"/>
      <c r="AI32" s="213"/>
      <c r="AJ32" s="213"/>
    </row>
    <row r="33" spans="1:36" ht="22.5" customHeight="1" x14ac:dyDescent="0.2">
      <c r="A33" s="367"/>
      <c r="B33" s="368"/>
      <c r="C33" s="365"/>
      <c r="D33" s="365"/>
      <c r="E33" s="391" t="str">
        <f>IF(A33&lt;&gt;"",IF(OR(C33="",D33="",C33=$AA$35,D33=$AA$35),$U33,""),"Bitte geben Sie bei Bedarf eine weitere Knotenbezeichnung ein.")</f>
        <v>Bitte geben Sie bei Bedarf eine weitere Knotenbezeichnung ein.</v>
      </c>
      <c r="F33" s="392"/>
      <c r="G33" s="392"/>
      <c r="H33" s="226"/>
      <c r="I33" s="221"/>
      <c r="J33" s="221"/>
      <c r="K33" s="296" t="s">
        <v>344</v>
      </c>
      <c r="L33" s="213"/>
      <c r="M33" s="213"/>
      <c r="N33" s="213"/>
      <c r="O33" s="213">
        <f>IFERROR(IF(MATCH($C33,$U$35:$AA$35,0)&lt;=3,0,1),0)</f>
        <v>0</v>
      </c>
      <c r="P33" s="213">
        <f>IFERROR(IF(MATCH($D33,$U$35:$AA$35,0)&lt;=3,0,1),0)</f>
        <v>0</v>
      </c>
      <c r="Q33" s="252">
        <f>IF(O33+P33&gt;0,1,0)</f>
        <v>0</v>
      </c>
      <c r="R33" s="213"/>
      <c r="S33" s="213"/>
      <c r="T33" s="213"/>
      <c r="U33" s="245" t="s">
        <v>303</v>
      </c>
      <c r="V33" s="213"/>
      <c r="W33" s="213"/>
      <c r="X33" s="246"/>
      <c r="Y33" s="213"/>
      <c r="Z33" s="213"/>
      <c r="AA33" s="213"/>
      <c r="AB33" s="213"/>
      <c r="AC33" s="213"/>
      <c r="AD33" s="213"/>
      <c r="AE33" s="241"/>
      <c r="AF33" s="213"/>
      <c r="AG33" s="213"/>
      <c r="AH33" s="213"/>
      <c r="AI33" s="213"/>
      <c r="AJ33" s="213"/>
    </row>
    <row r="34" spans="1:36" ht="22.5" customHeight="1" x14ac:dyDescent="0.2">
      <c r="A34" s="367"/>
      <c r="B34" s="368"/>
      <c r="C34" s="365"/>
      <c r="D34" s="365"/>
      <c r="E34" s="391" t="str">
        <f>IF(A34&lt;&gt;"",IF(OR(C34="",D34="",C34=$AA$35,D34=$AA$35),$U34,""),"Bitte geben Sie bei Bedarf eine weitere Knotenbezeichnung ein.")</f>
        <v>Bitte geben Sie bei Bedarf eine weitere Knotenbezeichnung ein.</v>
      </c>
      <c r="F34" s="392"/>
      <c r="G34" s="392"/>
      <c r="H34" s="226"/>
      <c r="I34" s="221"/>
      <c r="J34" s="221"/>
      <c r="K34" s="296" t="s">
        <v>351</v>
      </c>
      <c r="L34" s="213"/>
      <c r="M34" s="213"/>
      <c r="N34" s="213"/>
      <c r="O34" s="213">
        <f>IFERROR(IF(MATCH($C34,$U$35:$AA$35,0)&lt;=3,0,1),0)</f>
        <v>0</v>
      </c>
      <c r="P34" s="213">
        <f>IFERROR(IF(MATCH($D34,$U$35:$AA$35,0)&lt;=3,0,1),0)</f>
        <v>0</v>
      </c>
      <c r="Q34" s="252">
        <f>IF(O34+P34&gt;0,1,0)</f>
        <v>0</v>
      </c>
      <c r="R34" s="213"/>
      <c r="S34" s="213"/>
      <c r="T34" s="213"/>
      <c r="U34" s="245" t="s">
        <v>303</v>
      </c>
      <c r="V34" s="213"/>
      <c r="W34" s="213"/>
      <c r="X34" s="246"/>
      <c r="Y34" s="213"/>
      <c r="Z34" s="213"/>
      <c r="AA34" s="213"/>
      <c r="AB34" s="213"/>
      <c r="AC34" s="213"/>
      <c r="AD34" s="213"/>
      <c r="AE34" s="241"/>
      <c r="AF34" s="213"/>
      <c r="AG34" s="213"/>
      <c r="AH34" s="213"/>
      <c r="AI34" s="213"/>
      <c r="AJ34" s="213"/>
    </row>
    <row r="35" spans="1:36" ht="16.5" customHeight="1" x14ac:dyDescent="0.2">
      <c r="A35" s="396" t="str">
        <f>IF(Q35&lt;1,"",CONCATENATE("=&gt; Achtung! Sie planen ein Vorhaben an einem ausgelasteten oder überlasteten Strassenknoten. ","Bei verkehrsrelevanten Vorhaben ist mit Auflagen im Bewilligungsverfahren zu rechnen. ","Planen Sie rechtzeitig geeignete Massnahmen am Vorhaben zur Reduktion der Verkehrserzeugung ein. "))</f>
        <v/>
      </c>
      <c r="B35" s="397"/>
      <c r="C35" s="397"/>
      <c r="D35" s="397"/>
      <c r="E35" s="397"/>
      <c r="F35" s="397"/>
      <c r="G35" s="397"/>
      <c r="H35" s="275"/>
      <c r="I35" s="221"/>
      <c r="J35" s="221"/>
      <c r="K35" s="232" t="s">
        <v>35</v>
      </c>
      <c r="L35" s="213"/>
      <c r="M35" s="213"/>
      <c r="N35" s="213"/>
      <c r="O35" s="213"/>
      <c r="P35" s="213"/>
      <c r="Q35" s="288">
        <f>MAX(Q30:Q34)</f>
        <v>0</v>
      </c>
      <c r="R35" s="213"/>
      <c r="S35" s="213"/>
      <c r="T35" s="253" t="s">
        <v>20</v>
      </c>
      <c r="U35" s="297" t="s">
        <v>11</v>
      </c>
      <c r="V35" s="297" t="s">
        <v>12</v>
      </c>
      <c r="W35" s="297" t="s">
        <v>13</v>
      </c>
      <c r="X35" s="297" t="s">
        <v>14</v>
      </c>
      <c r="Y35" s="297" t="s">
        <v>15</v>
      </c>
      <c r="Z35" s="297" t="s">
        <v>16</v>
      </c>
      <c r="AA35" s="298" t="s">
        <v>57</v>
      </c>
      <c r="AB35" s="213"/>
      <c r="AC35" s="213"/>
      <c r="AD35" s="213"/>
      <c r="AE35" s="241"/>
      <c r="AF35" s="213"/>
      <c r="AG35" s="213"/>
      <c r="AH35" s="213"/>
      <c r="AI35" s="213"/>
      <c r="AJ35" s="213"/>
    </row>
    <row r="36" spans="1:36" ht="16.5" customHeight="1" x14ac:dyDescent="0.2">
      <c r="I36" s="221"/>
      <c r="J36" s="221"/>
      <c r="K36" s="213"/>
      <c r="L36" s="213"/>
      <c r="M36" s="213"/>
      <c r="N36" s="213"/>
      <c r="O36" s="299"/>
      <c r="P36" s="213"/>
      <c r="Q36" s="213"/>
      <c r="R36" s="213"/>
      <c r="S36" s="213"/>
      <c r="T36" s="269"/>
      <c r="U36" s="300">
        <v>1</v>
      </c>
      <c r="V36" s="300">
        <v>2</v>
      </c>
      <c r="W36" s="300">
        <v>3</v>
      </c>
      <c r="X36" s="300">
        <v>4</v>
      </c>
      <c r="Y36" s="300">
        <v>5</v>
      </c>
      <c r="Z36" s="300">
        <v>6</v>
      </c>
      <c r="AA36" s="248"/>
      <c r="AB36" s="213"/>
      <c r="AC36" s="213"/>
      <c r="AD36" s="213"/>
      <c r="AE36" s="213"/>
      <c r="AF36" s="213"/>
      <c r="AG36" s="213"/>
      <c r="AH36" s="213"/>
      <c r="AI36" s="213"/>
      <c r="AJ36" s="213"/>
    </row>
    <row r="37" spans="1:36" ht="16.5" customHeight="1" x14ac:dyDescent="0.2">
      <c r="A37" s="222" t="s">
        <v>368</v>
      </c>
      <c r="B37" s="223"/>
      <c r="C37" s="223"/>
      <c r="D37" s="223"/>
      <c r="E37" s="223"/>
      <c r="F37" s="223"/>
      <c r="G37" s="223"/>
      <c r="H37" s="224"/>
      <c r="I37" s="301"/>
      <c r="J37" s="221"/>
      <c r="K37" s="213"/>
      <c r="L37" s="213"/>
      <c r="M37" s="213"/>
      <c r="N37" s="213"/>
      <c r="O37" s="299"/>
      <c r="P37" s="213"/>
      <c r="Q37" s="213"/>
      <c r="R37" s="213"/>
      <c r="S37" s="213"/>
      <c r="T37" s="213"/>
      <c r="U37" s="213"/>
      <c r="V37" s="213"/>
      <c r="W37" s="213"/>
      <c r="X37" s="213"/>
      <c r="Y37" s="213"/>
      <c r="Z37" s="213"/>
      <c r="AA37" s="213"/>
      <c r="AB37" s="213"/>
      <c r="AC37" s="213"/>
      <c r="AD37" s="213"/>
      <c r="AE37" s="213"/>
      <c r="AF37" s="213"/>
      <c r="AG37" s="213"/>
      <c r="AH37" s="213"/>
      <c r="AI37" s="213"/>
      <c r="AJ37" s="213"/>
    </row>
    <row r="38" spans="1:36" ht="16.5" customHeight="1" x14ac:dyDescent="0.2">
      <c r="A38" s="251"/>
      <c r="B38" s="302" t="s">
        <v>28</v>
      </c>
      <c r="E38" s="3"/>
      <c r="F38" s="303" t="s">
        <v>279</v>
      </c>
      <c r="G38" s="274"/>
      <c r="H38" s="226"/>
      <c r="I38" s="301"/>
      <c r="J38" s="221"/>
      <c r="K38" s="221"/>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row>
    <row r="39" spans="1:36" ht="16.5" customHeight="1" x14ac:dyDescent="0.2">
      <c r="A39" s="230" t="s">
        <v>275</v>
      </c>
      <c r="B39" s="369" t="s">
        <v>248</v>
      </c>
      <c r="E39" s="230" t="s">
        <v>42</v>
      </c>
      <c r="F39" s="304">
        <f>R40</f>
        <v>0.5</v>
      </c>
      <c r="H39" s="226"/>
      <c r="I39" s="301"/>
      <c r="J39" s="221"/>
      <c r="K39" s="213"/>
      <c r="L39" s="213"/>
      <c r="M39" s="213"/>
      <c r="N39" s="213"/>
      <c r="O39" s="213"/>
      <c r="P39" s="213"/>
      <c r="Q39" s="235"/>
      <c r="R39" s="305" t="s">
        <v>100</v>
      </c>
      <c r="S39" s="213"/>
      <c r="T39" s="213"/>
      <c r="U39" s="213"/>
      <c r="V39" s="213"/>
      <c r="W39" s="213"/>
      <c r="X39" s="213"/>
      <c r="Y39" s="213"/>
      <c r="Z39" s="213"/>
      <c r="AA39" s="213"/>
      <c r="AB39" s="213"/>
      <c r="AC39" s="213"/>
      <c r="AD39" s="213"/>
      <c r="AE39" s="213"/>
      <c r="AF39" s="213"/>
      <c r="AG39" s="213"/>
      <c r="AH39" s="213"/>
      <c r="AI39" s="213"/>
      <c r="AJ39" s="213"/>
    </row>
    <row r="40" spans="1:36" ht="16.5" customHeight="1" x14ac:dyDescent="0.2">
      <c r="A40" s="230" t="s">
        <v>349</v>
      </c>
      <c r="B40" s="364" t="s">
        <v>83</v>
      </c>
      <c r="C40" s="306" t="s">
        <v>350</v>
      </c>
      <c r="E40" s="230" t="s">
        <v>46</v>
      </c>
      <c r="F40" s="304">
        <f>R41</f>
        <v>0.8</v>
      </c>
      <c r="H40" s="226"/>
      <c r="I40" s="301"/>
      <c r="J40" s="221"/>
      <c r="K40" s="213"/>
      <c r="L40" s="213"/>
      <c r="M40" s="213"/>
      <c r="N40" s="213"/>
      <c r="O40" s="213"/>
      <c r="P40" s="213"/>
      <c r="Q40" s="250" t="s">
        <v>29</v>
      </c>
      <c r="R40" s="307">
        <f>INDEX($AB$53:$AB$58,MATCH($B$41,$AA$53:$AA$58),0)</f>
        <v>0.5</v>
      </c>
      <c r="S40" s="213"/>
      <c r="T40" s="213"/>
      <c r="U40" s="213"/>
      <c r="V40" s="213"/>
      <c r="W40" s="213"/>
      <c r="X40" s="213"/>
      <c r="Y40" s="213"/>
      <c r="Z40" s="213"/>
      <c r="AA40" s="213"/>
      <c r="AB40" s="213"/>
      <c r="AC40" s="213"/>
      <c r="AD40" s="213"/>
      <c r="AE40" s="213"/>
      <c r="AF40" s="213"/>
      <c r="AG40" s="213"/>
      <c r="AH40" s="213"/>
      <c r="AI40" s="213"/>
      <c r="AJ40" s="213"/>
    </row>
    <row r="41" spans="1:36" ht="16.5" customHeight="1" x14ac:dyDescent="0.2">
      <c r="A41" s="230" t="s">
        <v>84</v>
      </c>
      <c r="B41" s="308" t="str">
        <f>INDEX(Verkehrsrelevanz!$AB$44:$AD$47,MATCH($B$40,Verkehrsrelevanz!$AA$44:$AA$47,0),MATCH($B$39,Verkehrsrelevanz!$AB$43:$AD$43,0))</f>
        <v>C</v>
      </c>
      <c r="E41" s="239"/>
      <c r="F41" s="233"/>
      <c r="H41" s="226"/>
      <c r="I41" s="301"/>
      <c r="J41" s="221"/>
      <c r="K41" s="213"/>
      <c r="L41" s="213"/>
      <c r="M41" s="213"/>
      <c r="N41" s="213"/>
      <c r="O41" s="213"/>
      <c r="P41" s="213"/>
      <c r="Q41" s="250" t="s">
        <v>30</v>
      </c>
      <c r="R41" s="307">
        <f>INDEX($AC$53:$AC$58,MATCH($B$41,$AA$53:$AA$58),0)</f>
        <v>0.8</v>
      </c>
      <c r="S41" s="213"/>
      <c r="T41" s="213"/>
      <c r="U41" s="213"/>
      <c r="V41" s="213"/>
      <c r="W41" s="213"/>
      <c r="X41" s="213"/>
      <c r="Y41" s="213"/>
      <c r="Z41" s="213"/>
      <c r="AA41" s="309" t="s">
        <v>26</v>
      </c>
      <c r="AB41" s="310"/>
      <c r="AC41" s="310"/>
      <c r="AD41" s="310"/>
      <c r="AE41" s="310"/>
      <c r="AF41" s="213"/>
      <c r="AG41" s="213"/>
      <c r="AH41" s="213"/>
      <c r="AI41" s="213"/>
      <c r="AJ41" s="213"/>
    </row>
    <row r="42" spans="1:36" ht="16.5" customHeight="1" x14ac:dyDescent="0.2">
      <c r="A42" s="230" t="s">
        <v>302</v>
      </c>
      <c r="B42" s="304">
        <f>AVERAGE(F39,F40)</f>
        <v>0.65</v>
      </c>
      <c r="E42" s="239"/>
      <c r="F42" s="233"/>
      <c r="G42" s="389"/>
      <c r="H42" s="390"/>
      <c r="I42" s="301"/>
      <c r="J42" s="221"/>
      <c r="K42" s="213"/>
      <c r="L42" s="213"/>
      <c r="M42" s="213"/>
      <c r="N42" s="213"/>
      <c r="O42" s="213"/>
      <c r="P42" s="213"/>
      <c r="Q42" s="311" t="s">
        <v>34</v>
      </c>
      <c r="R42" s="312">
        <f>AVERAGE(R40:R41)</f>
        <v>0.65</v>
      </c>
      <c r="S42" s="213"/>
      <c r="T42" s="213"/>
      <c r="U42" s="213"/>
      <c r="V42" s="213"/>
      <c r="W42" s="213"/>
      <c r="X42" s="213"/>
      <c r="Y42" s="213"/>
      <c r="Z42" s="213"/>
      <c r="AA42" s="213"/>
      <c r="AB42" s="381" t="s">
        <v>78</v>
      </c>
      <c r="AC42" s="382"/>
      <c r="AD42" s="383"/>
      <c r="AE42" s="213"/>
      <c r="AF42" s="213"/>
      <c r="AG42" s="213"/>
      <c r="AH42" s="213"/>
      <c r="AI42" s="213"/>
      <c r="AJ42" s="213"/>
    </row>
    <row r="43" spans="1:36" ht="16.5" customHeight="1" x14ac:dyDescent="0.2">
      <c r="A43" s="230" t="s">
        <v>326</v>
      </c>
      <c r="B43" s="313">
        <f>IF(F43="",B42,F43)</f>
        <v>0.65</v>
      </c>
      <c r="C43" s="314" t="s">
        <v>329</v>
      </c>
      <c r="E43" s="230" t="s">
        <v>101</v>
      </c>
      <c r="F43" s="212">
        <f>B42</f>
        <v>0.65</v>
      </c>
      <c r="G43" s="389"/>
      <c r="H43" s="390"/>
      <c r="I43" s="301"/>
      <c r="J43" s="221"/>
      <c r="K43" s="221"/>
      <c r="L43" s="213"/>
      <c r="M43" s="213"/>
      <c r="N43" s="213"/>
      <c r="O43" s="213"/>
      <c r="P43" s="213"/>
      <c r="Q43" s="213"/>
      <c r="R43" s="213"/>
      <c r="S43" s="213"/>
      <c r="T43" s="213"/>
      <c r="U43" s="213"/>
      <c r="V43" s="213"/>
      <c r="W43" s="213"/>
      <c r="X43" s="213"/>
      <c r="Y43" s="213"/>
      <c r="Z43" s="213"/>
      <c r="AA43" s="315" t="s">
        <v>27</v>
      </c>
      <c r="AB43" s="316" t="s">
        <v>247</v>
      </c>
      <c r="AC43" s="317" t="s">
        <v>79</v>
      </c>
      <c r="AD43" s="317" t="s">
        <v>80</v>
      </c>
      <c r="AE43" s="213"/>
      <c r="AF43" s="213"/>
      <c r="AG43" s="213"/>
      <c r="AH43" s="213"/>
      <c r="AI43" s="213"/>
      <c r="AJ43" s="213"/>
    </row>
    <row r="44" spans="1:36" ht="16.5" customHeight="1" x14ac:dyDescent="0.2">
      <c r="A44" s="251"/>
      <c r="B44" s="318" t="str">
        <f>IF(OR(B43&lt;F39,B43&gt;F40),"Achtung! Annahme zur Reduktion liegt ausserhalb der Bandbreite der Norm. Bitte begründen Sie ihre Wahl in der Dokumentation.","")</f>
        <v/>
      </c>
      <c r="E44" s="319"/>
      <c r="F44" s="319"/>
      <c r="G44" s="389"/>
      <c r="H44" s="390"/>
      <c r="I44" s="301"/>
      <c r="J44" s="221"/>
      <c r="K44" s="221"/>
      <c r="L44" s="288" t="s">
        <v>222</v>
      </c>
      <c r="M44" s="288" t="s">
        <v>98</v>
      </c>
      <c r="N44" s="288" t="s">
        <v>99</v>
      </c>
      <c r="O44" s="213"/>
      <c r="P44" s="213"/>
      <c r="Q44" s="213"/>
      <c r="R44" s="213"/>
      <c r="S44" s="213"/>
      <c r="T44" s="213"/>
      <c r="U44" s="213"/>
      <c r="V44" s="213"/>
      <c r="W44" s="213"/>
      <c r="X44" s="213"/>
      <c r="Y44" s="213"/>
      <c r="Z44" s="213"/>
      <c r="AA44" s="315" t="s">
        <v>81</v>
      </c>
      <c r="AB44" s="320" t="s">
        <v>11</v>
      </c>
      <c r="AC44" s="320" t="s">
        <v>12</v>
      </c>
      <c r="AD44" s="320" t="s">
        <v>13</v>
      </c>
      <c r="AE44" s="213"/>
      <c r="AF44" s="213"/>
      <c r="AG44" s="213"/>
      <c r="AH44" s="213"/>
      <c r="AI44" s="213"/>
      <c r="AJ44" s="213"/>
    </row>
    <row r="45" spans="1:36" ht="16.5" customHeight="1" x14ac:dyDescent="0.2">
      <c r="A45" s="273"/>
      <c r="B45" s="274"/>
      <c r="C45" s="274"/>
      <c r="D45" s="274"/>
      <c r="E45" s="321"/>
      <c r="F45" s="321"/>
      <c r="G45" s="321"/>
      <c r="H45" s="275"/>
      <c r="I45" s="301"/>
      <c r="J45" s="221"/>
      <c r="K45" s="234" t="s">
        <v>261</v>
      </c>
      <c r="L45" s="299">
        <f>'Grundlagen Verkehr'!M299+'Grundlagen Verkehr'!M293</f>
        <v>0</v>
      </c>
      <c r="M45" s="299">
        <f>L45</f>
        <v>0</v>
      </c>
      <c r="N45" s="299">
        <f>L45</f>
        <v>0</v>
      </c>
      <c r="O45" s="213"/>
      <c r="P45" s="213"/>
      <c r="Q45" s="213"/>
      <c r="R45" s="213"/>
      <c r="S45" s="213"/>
      <c r="T45" s="213"/>
      <c r="U45" s="213"/>
      <c r="V45" s="213"/>
      <c r="W45" s="213"/>
      <c r="X45" s="213"/>
      <c r="Y45" s="213"/>
      <c r="Z45" s="213"/>
      <c r="AA45" s="315" t="s">
        <v>82</v>
      </c>
      <c r="AB45" s="320" t="s">
        <v>12</v>
      </c>
      <c r="AC45" s="320" t="s">
        <v>13</v>
      </c>
      <c r="AD45" s="320" t="s">
        <v>14</v>
      </c>
      <c r="AE45" s="213"/>
      <c r="AF45" s="213"/>
      <c r="AG45" s="213"/>
      <c r="AH45" s="213"/>
      <c r="AI45" s="213"/>
      <c r="AJ45" s="213"/>
    </row>
    <row r="46" spans="1:36" ht="16.5" customHeight="1" x14ac:dyDescent="0.2">
      <c r="E46" s="319"/>
      <c r="F46" s="319"/>
      <c r="G46" s="319"/>
      <c r="I46" s="221"/>
      <c r="J46" s="221"/>
      <c r="K46" s="221"/>
      <c r="L46" s="299"/>
      <c r="M46" s="299"/>
      <c r="N46" s="299"/>
      <c r="O46" s="213"/>
      <c r="P46" s="213"/>
      <c r="Q46" s="213"/>
      <c r="R46" s="213"/>
      <c r="S46" s="213"/>
      <c r="T46" s="213"/>
      <c r="U46" s="213"/>
      <c r="V46" s="213"/>
      <c r="W46" s="213"/>
      <c r="X46" s="213"/>
      <c r="Y46" s="213"/>
      <c r="Z46" s="213"/>
      <c r="AA46" s="228"/>
      <c r="AB46" s="322"/>
      <c r="AC46" s="322"/>
      <c r="AD46" s="322"/>
      <c r="AE46" s="213"/>
      <c r="AF46" s="213"/>
      <c r="AG46" s="213"/>
      <c r="AH46" s="213"/>
      <c r="AI46" s="213"/>
      <c r="AJ46" s="213"/>
    </row>
    <row r="47" spans="1:36" ht="16.5" customHeight="1" x14ac:dyDescent="0.2">
      <c r="A47" s="282" t="s">
        <v>361</v>
      </c>
      <c r="B47" s="283"/>
      <c r="C47" s="223"/>
      <c r="D47" s="223"/>
      <c r="E47" s="223"/>
      <c r="F47" s="223"/>
      <c r="G47" s="223"/>
      <c r="H47" s="224"/>
      <c r="I47" s="221"/>
      <c r="J47" s="221"/>
      <c r="K47" s="221"/>
      <c r="L47" s="299"/>
      <c r="M47" s="299"/>
      <c r="N47" s="299"/>
      <c r="O47" s="213"/>
      <c r="P47" s="213"/>
      <c r="Q47" s="213"/>
      <c r="R47" s="213"/>
      <c r="S47" s="213"/>
      <c r="T47" s="213"/>
      <c r="U47" s="213"/>
      <c r="V47" s="213"/>
      <c r="W47" s="213"/>
      <c r="X47" s="213"/>
      <c r="Y47" s="213"/>
      <c r="Z47" s="213"/>
      <c r="AA47" s="315" t="s">
        <v>83</v>
      </c>
      <c r="AB47" s="320" t="s">
        <v>13</v>
      </c>
      <c r="AC47" s="320" t="s">
        <v>14</v>
      </c>
      <c r="AD47" s="320" t="s">
        <v>15</v>
      </c>
      <c r="AE47" s="213"/>
      <c r="AF47" s="213"/>
      <c r="AG47" s="213"/>
      <c r="AH47" s="213"/>
      <c r="AI47" s="213"/>
      <c r="AJ47" s="213"/>
    </row>
    <row r="48" spans="1:36" ht="16.5" customHeight="1" x14ac:dyDescent="0.2">
      <c r="A48" s="251"/>
      <c r="B48" s="257" t="s">
        <v>360</v>
      </c>
      <c r="C48" s="274"/>
      <c r="E48" s="323" t="s">
        <v>359</v>
      </c>
      <c r="F48" s="3"/>
      <c r="H48" s="226"/>
      <c r="I48" s="221"/>
      <c r="J48" s="221"/>
      <c r="K48" s="221"/>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row>
    <row r="49" spans="1:36" ht="16.5" customHeight="1" x14ac:dyDescent="0.2">
      <c r="A49" s="230" t="s">
        <v>32</v>
      </c>
      <c r="B49" s="324">
        <f>'Grundlagen Verkehr'!B93</f>
        <v>0</v>
      </c>
      <c r="C49" s="233" t="s">
        <v>96</v>
      </c>
      <c r="F49" s="325" t="s">
        <v>238</v>
      </c>
      <c r="G49" s="274"/>
      <c r="H49" s="226"/>
      <c r="I49" s="221"/>
      <c r="J49" s="221"/>
      <c r="K49" s="221"/>
      <c r="L49" s="213"/>
      <c r="M49" s="213"/>
      <c r="N49" s="213"/>
      <c r="O49" s="213"/>
      <c r="P49" s="213"/>
      <c r="Q49" s="213"/>
      <c r="R49" s="213"/>
      <c r="S49" s="213"/>
      <c r="T49" s="213"/>
      <c r="U49" s="213"/>
      <c r="V49" s="213"/>
      <c r="W49" s="213"/>
      <c r="X49" s="213"/>
      <c r="Y49" s="213"/>
      <c r="Z49" s="213"/>
      <c r="AA49" s="326" t="s">
        <v>33</v>
      </c>
      <c r="AB49" s="327"/>
      <c r="AC49" s="327"/>
      <c r="AD49" s="327"/>
      <c r="AE49" s="327"/>
      <c r="AF49" s="213"/>
      <c r="AG49" s="213"/>
      <c r="AH49" s="213"/>
      <c r="AI49" s="213"/>
      <c r="AJ49" s="213"/>
    </row>
    <row r="50" spans="1:36" ht="16.5" customHeight="1" x14ac:dyDescent="0.2">
      <c r="A50" s="238" t="s">
        <v>327</v>
      </c>
      <c r="B50" s="304">
        <f>B43</f>
        <v>0.65</v>
      </c>
      <c r="F50" s="328" t="str">
        <f>IFERROR('Grundlagen Verkehr'!P77,"keine Eingaben")</f>
        <v>keine Eingaben</v>
      </c>
      <c r="G50" s="249" t="s">
        <v>264</v>
      </c>
      <c r="H50" s="226"/>
      <c r="I50" s="221"/>
      <c r="J50" s="221"/>
      <c r="K50" s="213"/>
      <c r="L50" s="288" t="s">
        <v>222</v>
      </c>
      <c r="M50" s="288" t="s">
        <v>98</v>
      </c>
      <c r="N50" s="288" t="s">
        <v>99</v>
      </c>
      <c r="O50" s="213"/>
      <c r="P50" s="213"/>
      <c r="Q50" s="232" t="s">
        <v>291</v>
      </c>
      <c r="R50" s="213"/>
      <c r="S50" s="213"/>
      <c r="T50" s="213"/>
      <c r="U50" s="213"/>
      <c r="V50" s="213"/>
      <c r="W50" s="213"/>
      <c r="X50" s="213"/>
      <c r="Y50" s="213"/>
      <c r="Z50" s="213"/>
      <c r="AA50" s="232" t="s">
        <v>31</v>
      </c>
      <c r="AB50" s="213"/>
      <c r="AC50" s="213"/>
      <c r="AD50" s="213"/>
      <c r="AE50" s="213"/>
      <c r="AF50" s="213"/>
      <c r="AG50" s="213"/>
      <c r="AH50" s="213"/>
      <c r="AI50" s="213"/>
      <c r="AJ50" s="213"/>
    </row>
    <row r="51" spans="1:36" ht="16.5" customHeight="1" x14ac:dyDescent="0.2">
      <c r="A51" s="230" t="s">
        <v>328</v>
      </c>
      <c r="B51" s="324">
        <f>B49*B50</f>
        <v>0</v>
      </c>
      <c r="C51" s="233" t="s">
        <v>96</v>
      </c>
      <c r="G51" s="4"/>
      <c r="H51" s="226"/>
      <c r="I51" s="221"/>
      <c r="J51" s="221"/>
      <c r="K51" s="234" t="s">
        <v>290</v>
      </c>
      <c r="L51" s="213">
        <f>IF($B$51&gt;=$Q$51,1,0)</f>
        <v>0</v>
      </c>
      <c r="M51" s="213">
        <f>L51</f>
        <v>0</v>
      </c>
      <c r="N51" s="213"/>
      <c r="O51" s="213"/>
      <c r="P51" s="213"/>
      <c r="Q51" s="215">
        <v>50</v>
      </c>
      <c r="R51" s="213" t="s">
        <v>292</v>
      </c>
      <c r="S51" s="213"/>
      <c r="T51" s="213"/>
      <c r="U51" s="213"/>
      <c r="V51" s="329"/>
      <c r="W51" s="213"/>
      <c r="X51" s="213"/>
      <c r="Y51" s="213"/>
      <c r="Z51" s="213"/>
      <c r="AA51" s="213"/>
      <c r="AB51" s="386" t="s">
        <v>94</v>
      </c>
      <c r="AC51" s="386"/>
      <c r="AD51" s="213"/>
      <c r="AE51" s="213"/>
      <c r="AF51" s="213"/>
      <c r="AG51" s="213"/>
      <c r="AH51" s="213"/>
      <c r="AI51" s="213"/>
      <c r="AJ51" s="213"/>
    </row>
    <row r="52" spans="1:36" ht="16.5" customHeight="1" x14ac:dyDescent="0.2">
      <c r="A52" s="238"/>
      <c r="F52" s="257" t="s">
        <v>263</v>
      </c>
      <c r="G52" s="330"/>
      <c r="H52" s="226"/>
      <c r="I52" s="221"/>
      <c r="J52" s="221"/>
      <c r="K52" s="213"/>
      <c r="L52" s="213"/>
      <c r="M52" s="213"/>
      <c r="N52" s="213"/>
      <c r="O52" s="213"/>
      <c r="P52" s="213"/>
      <c r="Q52" s="213"/>
      <c r="R52" s="213"/>
      <c r="S52" s="213"/>
      <c r="T52" s="213"/>
      <c r="U52" s="213"/>
      <c r="V52" s="213"/>
      <c r="W52" s="213"/>
      <c r="X52" s="213"/>
      <c r="Y52" s="213"/>
      <c r="Z52" s="213"/>
      <c r="AA52" s="213"/>
      <c r="AB52" s="288" t="s">
        <v>29</v>
      </c>
      <c r="AC52" s="288" t="s">
        <v>30</v>
      </c>
      <c r="AD52" s="288" t="s">
        <v>34</v>
      </c>
      <c r="AE52" s="213"/>
      <c r="AF52" s="213"/>
      <c r="AG52" s="213"/>
      <c r="AH52" s="213"/>
      <c r="AI52" s="213"/>
      <c r="AJ52" s="213"/>
    </row>
    <row r="53" spans="1:36" ht="16.5" customHeight="1" x14ac:dyDescent="0.2">
      <c r="A53" s="238"/>
      <c r="B53" s="331" t="s">
        <v>19</v>
      </c>
      <c r="C53" s="332" t="s">
        <v>17</v>
      </c>
      <c r="D53" s="332" t="s">
        <v>18</v>
      </c>
      <c r="F53" s="333" t="str">
        <f>IF('Grundlagen Verkehr'!Q312&gt;0,"Eher Ja","Eher Nein")</f>
        <v>Eher Nein</v>
      </c>
      <c r="G53" s="249" t="s">
        <v>264</v>
      </c>
      <c r="H53" s="334"/>
      <c r="I53" s="301"/>
      <c r="J53" s="221"/>
      <c r="K53" s="234" t="s">
        <v>274</v>
      </c>
      <c r="L53" s="213">
        <f>IF(F53="Eher Ja",1,0)</f>
        <v>0</v>
      </c>
      <c r="M53" s="213"/>
      <c r="N53" s="213">
        <f>L53</f>
        <v>0</v>
      </c>
      <c r="O53" s="213"/>
      <c r="P53" s="213"/>
      <c r="Q53" s="213"/>
      <c r="R53" s="213"/>
      <c r="S53" s="213"/>
      <c r="T53" s="213"/>
      <c r="U53" s="213"/>
      <c r="V53" s="213"/>
      <c r="W53" s="213"/>
      <c r="X53" s="213"/>
      <c r="Y53" s="213"/>
      <c r="Z53" s="213"/>
      <c r="AA53" s="315" t="s">
        <v>11</v>
      </c>
      <c r="AB53" s="335">
        <v>0.2</v>
      </c>
      <c r="AC53" s="335">
        <v>0.4</v>
      </c>
      <c r="AD53" s="335">
        <f>AVERAGE(AC53,AB53)</f>
        <v>0.30000000000000004</v>
      </c>
      <c r="AE53" s="213"/>
      <c r="AF53" s="213"/>
      <c r="AG53" s="213"/>
      <c r="AH53" s="213"/>
      <c r="AI53" s="213"/>
      <c r="AJ53" s="213"/>
    </row>
    <row r="54" spans="1:36" ht="16.5" customHeight="1" x14ac:dyDescent="0.2">
      <c r="A54" s="230" t="s">
        <v>204</v>
      </c>
      <c r="B54" s="324">
        <f>'Grundlagen Verkehr'!C93</f>
        <v>0</v>
      </c>
      <c r="C54" s="324">
        <f>'Grundlagen Verkehr'!D93</f>
        <v>0</v>
      </c>
      <c r="D54" s="324">
        <f>'Grundlagen Verkehr'!M93</f>
        <v>0</v>
      </c>
      <c r="G54" s="4"/>
      <c r="H54" s="5"/>
      <c r="I54" s="301"/>
      <c r="J54" s="213"/>
      <c r="K54" s="213"/>
      <c r="L54" s="213"/>
      <c r="M54" s="213"/>
      <c r="N54" s="213"/>
      <c r="O54" s="213"/>
      <c r="P54" s="213"/>
      <c r="Q54" s="213">
        <f>'Grundlagen Verkehr'!B305</f>
        <v>500</v>
      </c>
      <c r="R54" s="213">
        <f>'Grundlagen Verkehr'!C306</f>
        <v>50</v>
      </c>
      <c r="S54" s="213">
        <f>R54</f>
        <v>50</v>
      </c>
      <c r="T54" s="213"/>
      <c r="U54" s="213"/>
      <c r="V54" s="213"/>
      <c r="W54" s="213"/>
      <c r="X54" s="213"/>
      <c r="Y54" s="213"/>
      <c r="Z54" s="213"/>
      <c r="AA54" s="315" t="s">
        <v>12</v>
      </c>
      <c r="AB54" s="335">
        <v>0.4</v>
      </c>
      <c r="AC54" s="335">
        <v>0.6</v>
      </c>
      <c r="AD54" s="335">
        <f>AVERAGE(AC54,AB54)</f>
        <v>0.5</v>
      </c>
      <c r="AE54" s="213"/>
      <c r="AF54" s="213"/>
      <c r="AG54" s="213"/>
      <c r="AH54" s="213"/>
      <c r="AI54" s="213"/>
      <c r="AJ54" s="213"/>
    </row>
    <row r="55" spans="1:36" ht="16.5" customHeight="1" x14ac:dyDescent="0.2">
      <c r="A55" s="230" t="s">
        <v>293</v>
      </c>
      <c r="B55" s="324">
        <f>B54*$B$50</f>
        <v>0</v>
      </c>
      <c r="C55" s="324">
        <f>C54*$B$50</f>
        <v>0</v>
      </c>
      <c r="D55" s="324">
        <f>D54*$B$50</f>
        <v>0</v>
      </c>
      <c r="F55" s="336" t="s">
        <v>266</v>
      </c>
      <c r="G55" s="337"/>
      <c r="H55" s="226"/>
      <c r="I55" s="301"/>
      <c r="J55" s="213"/>
      <c r="K55" s="234" t="s">
        <v>273</v>
      </c>
      <c r="L55" s="213">
        <f>IF(F56="Eher Ja",1,0)</f>
        <v>0</v>
      </c>
      <c r="M55" s="213"/>
      <c r="N55" s="213">
        <f>L55</f>
        <v>0</v>
      </c>
      <c r="O55" s="213"/>
      <c r="P55" s="213"/>
      <c r="Q55" s="213"/>
      <c r="R55" s="213"/>
      <c r="S55" s="213"/>
      <c r="T55" s="213"/>
      <c r="U55" s="213"/>
      <c r="V55" s="213"/>
      <c r="W55" s="213"/>
      <c r="X55" s="213"/>
      <c r="Y55" s="213"/>
      <c r="Z55" s="213"/>
      <c r="AA55" s="315" t="s">
        <v>13</v>
      </c>
      <c r="AB55" s="335">
        <v>0.5</v>
      </c>
      <c r="AC55" s="335">
        <v>0.8</v>
      </c>
      <c r="AD55" s="335">
        <f>AVERAGE(AC55,AB55)</f>
        <v>0.65</v>
      </c>
      <c r="AE55" s="213"/>
      <c r="AF55" s="213"/>
      <c r="AG55" s="213"/>
      <c r="AH55" s="213"/>
      <c r="AI55" s="213"/>
      <c r="AJ55" s="213"/>
    </row>
    <row r="56" spans="1:36" ht="16.5" customHeight="1" x14ac:dyDescent="0.2">
      <c r="A56" s="238"/>
      <c r="B56" s="338"/>
      <c r="C56" s="338"/>
      <c r="D56" s="338"/>
      <c r="F56" s="333" t="str">
        <f>IF(L45&gt;0,"Eher Ja","Eher Nein")</f>
        <v>Eher Nein</v>
      </c>
      <c r="G56" s="249" t="s">
        <v>264</v>
      </c>
      <c r="H56" s="226"/>
      <c r="I56" s="301"/>
      <c r="J56" s="213"/>
      <c r="K56" s="213"/>
      <c r="L56" s="213"/>
      <c r="M56" s="213"/>
      <c r="N56" s="213"/>
      <c r="O56" s="213"/>
      <c r="P56" s="213"/>
      <c r="Q56" s="252" t="s">
        <v>372</v>
      </c>
      <c r="R56" s="252"/>
      <c r="S56" s="252"/>
      <c r="T56" s="213"/>
      <c r="U56" s="213"/>
      <c r="V56" s="213"/>
      <c r="W56" s="213"/>
      <c r="X56" s="213"/>
      <c r="Y56" s="213"/>
      <c r="Z56" s="213"/>
      <c r="AA56" s="315" t="s">
        <v>14</v>
      </c>
      <c r="AB56" s="335">
        <v>0.7</v>
      </c>
      <c r="AC56" s="335">
        <v>0.9</v>
      </c>
      <c r="AD56" s="335">
        <f>AVERAGE(AC56,AB56)</f>
        <v>0.8</v>
      </c>
      <c r="AE56" s="213"/>
      <c r="AF56" s="213"/>
      <c r="AG56" s="213"/>
      <c r="AH56" s="213"/>
      <c r="AI56" s="213"/>
      <c r="AJ56" s="213"/>
    </row>
    <row r="57" spans="1:36" ht="16.5" customHeight="1" x14ac:dyDescent="0.2">
      <c r="A57" s="230"/>
      <c r="B57" s="339"/>
      <c r="C57" s="339"/>
      <c r="D57" s="339"/>
      <c r="F57" s="218"/>
      <c r="G57" s="218"/>
      <c r="H57" s="226"/>
      <c r="I57" s="301"/>
      <c r="J57" s="213"/>
      <c r="K57" s="234" t="s">
        <v>371</v>
      </c>
      <c r="L57" s="213">
        <f>MAX(M57,N57)</f>
        <v>0</v>
      </c>
      <c r="M57" s="213">
        <f>IF(OR(C55&gt;=Q57,D55&gt;=Q57),1,0)</f>
        <v>0</v>
      </c>
      <c r="N57" s="213">
        <f>IF(OR(C55&gt;=Q57,D55&gt;=Q57),1,0)</f>
        <v>0</v>
      </c>
      <c r="O57" s="213"/>
      <c r="P57" s="213"/>
      <c r="Q57" s="216">
        <v>30</v>
      </c>
      <c r="R57" s="216"/>
      <c r="S57" s="216"/>
      <c r="T57" s="213" t="s">
        <v>294</v>
      </c>
      <c r="U57" s="213"/>
      <c r="V57" s="213"/>
      <c r="W57" s="213"/>
      <c r="X57" s="213"/>
      <c r="Y57" s="213"/>
      <c r="Z57" s="213"/>
      <c r="AA57" s="315"/>
      <c r="AB57" s="335"/>
      <c r="AC57" s="335"/>
      <c r="AD57" s="335"/>
      <c r="AE57" s="213"/>
      <c r="AF57" s="213"/>
      <c r="AG57" s="213"/>
      <c r="AH57" s="213"/>
      <c r="AI57" s="213"/>
      <c r="AJ57" s="213"/>
    </row>
    <row r="58" spans="1:36" ht="16.5" customHeight="1" x14ac:dyDescent="0.2">
      <c r="A58" s="273"/>
      <c r="B58" s="340" t="str">
        <f>IF(ISERROR(SUM(B57:D57)),"Bitte tragen Sie die erforderlichen Grundlagen im Tabellenblatt 'Grundlagen Verkehr' ein","")</f>
        <v/>
      </c>
      <c r="C58" s="274"/>
      <c r="D58" s="274"/>
      <c r="E58" s="274"/>
      <c r="F58" s="274"/>
      <c r="G58" s="274"/>
      <c r="H58" s="275"/>
      <c r="I58" s="221"/>
      <c r="J58" s="221"/>
      <c r="K58" s="234"/>
      <c r="L58" s="213"/>
      <c r="M58" s="213"/>
      <c r="N58" s="213"/>
      <c r="O58" s="213"/>
      <c r="P58" s="213"/>
      <c r="Q58" s="216"/>
      <c r="R58" s="213"/>
      <c r="S58" s="213"/>
      <c r="T58" s="213" t="s">
        <v>295</v>
      </c>
      <c r="U58" s="213"/>
      <c r="V58" s="213"/>
      <c r="W58" s="213"/>
      <c r="X58" s="213"/>
      <c r="Y58" s="213"/>
      <c r="Z58" s="213"/>
      <c r="AA58" s="315" t="s">
        <v>15</v>
      </c>
      <c r="AB58" s="335">
        <v>0.9</v>
      </c>
      <c r="AC58" s="335">
        <v>1</v>
      </c>
      <c r="AD58" s="335">
        <f>AVERAGE(AC58,AB58)</f>
        <v>0.95</v>
      </c>
      <c r="AE58" s="213"/>
      <c r="AF58" s="213"/>
      <c r="AG58" s="213"/>
      <c r="AH58" s="213"/>
      <c r="AI58" s="213"/>
      <c r="AJ58" s="213"/>
    </row>
    <row r="59" spans="1:36" ht="16.5" customHeight="1" x14ac:dyDescent="0.2">
      <c r="I59" s="221"/>
      <c r="J59" s="221"/>
      <c r="K59" s="221"/>
      <c r="L59" s="213"/>
      <c r="M59" s="213"/>
      <c r="N59" s="213"/>
      <c r="O59" s="213"/>
      <c r="P59" s="213"/>
      <c r="Q59" s="221"/>
      <c r="R59" s="213"/>
      <c r="S59" s="213"/>
      <c r="T59" s="213"/>
      <c r="U59" s="213"/>
      <c r="V59" s="213"/>
      <c r="W59" s="213"/>
      <c r="X59" s="213"/>
      <c r="Y59" s="213"/>
      <c r="Z59" s="213"/>
      <c r="AA59" s="232"/>
      <c r="AB59" s="341"/>
      <c r="AC59" s="341"/>
      <c r="AD59" s="341"/>
      <c r="AE59" s="213"/>
      <c r="AF59" s="213"/>
      <c r="AG59" s="213"/>
      <c r="AH59" s="213"/>
      <c r="AI59" s="213"/>
      <c r="AJ59" s="213"/>
    </row>
    <row r="60" spans="1:36" ht="16.5" customHeight="1" x14ac:dyDescent="0.2">
      <c r="A60" s="342" t="s">
        <v>331</v>
      </c>
      <c r="B60" s="343"/>
      <c r="C60" s="343"/>
      <c r="D60" s="343"/>
      <c r="E60" s="343"/>
      <c r="F60" s="343"/>
      <c r="G60" s="343"/>
      <c r="H60" s="344"/>
      <c r="I60" s="221"/>
      <c r="J60" s="221"/>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row>
    <row r="61" spans="1:36" ht="16.5" customHeight="1" x14ac:dyDescent="0.25">
      <c r="A61" s="345"/>
      <c r="H61" s="226"/>
      <c r="I61" s="221"/>
      <c r="J61" s="221"/>
      <c r="K61" s="346" t="s">
        <v>35</v>
      </c>
      <c r="L61" s="347">
        <f>SUM(L6:L58)</f>
        <v>0</v>
      </c>
      <c r="M61" s="348">
        <f>SUM(M6:M58)</f>
        <v>0</v>
      </c>
      <c r="N61" s="348">
        <f>SUM(N6:N58)</f>
        <v>0</v>
      </c>
      <c r="O61" s="213"/>
      <c r="P61" s="213"/>
      <c r="Q61" s="213"/>
      <c r="R61" s="213"/>
      <c r="S61" s="213"/>
      <c r="T61" s="213"/>
      <c r="U61" s="213"/>
      <c r="V61" s="213"/>
      <c r="W61" s="213"/>
      <c r="X61" s="213"/>
      <c r="Y61" s="213"/>
      <c r="Z61" s="213"/>
      <c r="AA61" s="213"/>
      <c r="AB61" s="213"/>
      <c r="AC61" s="213"/>
      <c r="AD61" s="213"/>
      <c r="AE61" s="213"/>
      <c r="AF61" s="213"/>
      <c r="AG61" s="213"/>
      <c r="AH61" s="213"/>
      <c r="AI61" s="213"/>
      <c r="AJ61" s="213"/>
    </row>
    <row r="62" spans="1:36" ht="16.5" customHeight="1" x14ac:dyDescent="0.2">
      <c r="A62" s="230" t="s">
        <v>103</v>
      </c>
      <c r="B62" s="279" t="str">
        <f>IF(N63,"Ja","Nein")</f>
        <v>Nein</v>
      </c>
      <c r="D62" s="393" t="str">
        <f>IF(B62="Nein","Es ist kein Verkehrsnachweis notwendig.",IF(B64="Ja","Es ist ein detaillierter Verkehrsnachweis notwendig (Beilage zum Baugesuch).",IF(B63="Ja","Es ist ein einfacher Verkehrsnachweis ausreichend (Beilage zum Baugesuch)","")))</f>
        <v>Es ist kein Verkehrsnachweis notwendig.</v>
      </c>
      <c r="E62" s="393"/>
      <c r="F62" s="393"/>
      <c r="G62" s="393"/>
      <c r="H62" s="393"/>
      <c r="I62" s="221"/>
      <c r="J62" s="221"/>
      <c r="K62" s="213"/>
      <c r="L62" s="213"/>
      <c r="M62" s="213"/>
      <c r="N62" s="252" t="s">
        <v>272</v>
      </c>
      <c r="O62" s="232">
        <v>0</v>
      </c>
      <c r="P62" s="232">
        <v>1</v>
      </c>
      <c r="Q62" s="213"/>
      <c r="R62" s="213"/>
      <c r="S62" s="213"/>
      <c r="T62" s="213"/>
      <c r="U62" s="213"/>
      <c r="V62" s="213"/>
      <c r="W62" s="213"/>
      <c r="X62" s="213"/>
      <c r="Y62" s="213"/>
      <c r="Z62" s="213"/>
      <c r="AA62" s="213"/>
      <c r="AB62" s="213"/>
      <c r="AC62" s="213"/>
      <c r="AD62" s="213"/>
      <c r="AE62" s="213"/>
      <c r="AF62" s="213"/>
      <c r="AG62" s="213"/>
      <c r="AH62" s="213"/>
      <c r="AI62" s="213"/>
      <c r="AJ62" s="213"/>
    </row>
    <row r="63" spans="1:36" ht="16.5" customHeight="1" x14ac:dyDescent="0.2">
      <c r="A63" s="230" t="s">
        <v>367</v>
      </c>
      <c r="B63" s="279" t="str">
        <f>IF(N64,"Ja","Nein")</f>
        <v>Nein</v>
      </c>
      <c r="D63" s="393"/>
      <c r="E63" s="393"/>
      <c r="F63" s="393"/>
      <c r="G63" s="393"/>
      <c r="H63" s="393"/>
      <c r="I63" s="221"/>
      <c r="J63" s="221"/>
      <c r="K63" s="232" t="s">
        <v>103</v>
      </c>
      <c r="L63" s="213"/>
      <c r="M63" s="213"/>
      <c r="N63" s="232">
        <f>IF(L61&gt;0,1,0)</f>
        <v>0</v>
      </c>
      <c r="O63" s="213" t="s">
        <v>335</v>
      </c>
      <c r="P63" s="213"/>
      <c r="Q63" s="213"/>
      <c r="R63" s="213"/>
      <c r="S63" s="213"/>
      <c r="T63" s="213"/>
      <c r="U63" s="213"/>
      <c r="V63" s="213"/>
      <c r="W63" s="213"/>
      <c r="X63" s="213"/>
      <c r="Y63" s="213"/>
      <c r="Z63" s="213"/>
      <c r="AA63" s="213"/>
      <c r="AB63" s="213"/>
      <c r="AC63" s="213"/>
      <c r="AD63" s="213"/>
      <c r="AE63" s="213"/>
      <c r="AF63" s="213"/>
      <c r="AG63" s="213"/>
      <c r="AH63" s="213"/>
      <c r="AI63" s="213"/>
      <c r="AJ63" s="213"/>
    </row>
    <row r="64" spans="1:36" ht="16.5" customHeight="1" x14ac:dyDescent="0.2">
      <c r="A64" s="230" t="s">
        <v>104</v>
      </c>
      <c r="B64" s="279" t="str">
        <f>IF(N65,"Ja","Nein")</f>
        <v>Nein</v>
      </c>
      <c r="D64" s="393" t="str">
        <f>IF(B65="Ja","Es ist ein Mobilitätskonzept notwendig (Beilage zum Baugesuch)","Es ist kein Mobilitätskonzept notwendig.")</f>
        <v>Es ist kein Mobilitätskonzept notwendig.</v>
      </c>
      <c r="E64" s="393"/>
      <c r="F64" s="393"/>
      <c r="G64" s="393"/>
      <c r="H64" s="393"/>
      <c r="I64" s="221"/>
      <c r="J64" s="221"/>
      <c r="K64" s="232" t="s">
        <v>332</v>
      </c>
      <c r="L64" s="213"/>
      <c r="M64" s="213"/>
      <c r="N64" s="232">
        <f>IF(M61&gt;0,1,0)-N65</f>
        <v>0</v>
      </c>
      <c r="O64" s="213"/>
      <c r="P64" s="213" t="s">
        <v>336</v>
      </c>
      <c r="Q64" s="213"/>
      <c r="R64" s="213"/>
      <c r="S64" s="213"/>
      <c r="T64" s="213"/>
      <c r="U64" s="213"/>
      <c r="V64" s="213"/>
      <c r="W64" s="213"/>
      <c r="X64" s="213"/>
      <c r="Y64" s="213"/>
      <c r="Z64" s="213"/>
      <c r="AA64" s="213"/>
      <c r="AB64" s="213"/>
      <c r="AC64" s="213"/>
      <c r="AD64" s="213"/>
      <c r="AE64" s="213"/>
      <c r="AF64" s="213"/>
      <c r="AG64" s="213"/>
      <c r="AH64" s="213"/>
      <c r="AI64" s="213"/>
      <c r="AJ64" s="213"/>
    </row>
    <row r="65" spans="1:36" ht="16.5" customHeight="1" x14ac:dyDescent="0.2">
      <c r="A65" s="230" t="s">
        <v>276</v>
      </c>
      <c r="B65" s="279" t="str">
        <f>IF(N66,"Ja","Nein, aber empfohlen")</f>
        <v>Nein, aber empfohlen</v>
      </c>
      <c r="C65" s="226"/>
      <c r="D65" s="393"/>
      <c r="E65" s="393"/>
      <c r="F65" s="393"/>
      <c r="G65" s="393"/>
      <c r="H65" s="393"/>
      <c r="I65" s="221"/>
      <c r="J65" s="221"/>
      <c r="K65" s="232" t="s">
        <v>333</v>
      </c>
      <c r="L65" s="213"/>
      <c r="M65" s="213"/>
      <c r="N65" s="232">
        <f>IF(N61&gt;0,1,0)</f>
        <v>0</v>
      </c>
      <c r="O65" s="213" t="s">
        <v>337</v>
      </c>
      <c r="P65" s="213"/>
      <c r="Q65" s="213"/>
      <c r="R65" s="213"/>
      <c r="S65" s="213"/>
      <c r="T65" s="213"/>
      <c r="U65" s="213"/>
      <c r="V65" s="213"/>
      <c r="W65" s="213"/>
      <c r="X65" s="213"/>
      <c r="Y65" s="213"/>
      <c r="Z65" s="213"/>
      <c r="AA65" s="213"/>
      <c r="AB65" s="213"/>
      <c r="AC65" s="213"/>
      <c r="AD65" s="213"/>
      <c r="AE65" s="213"/>
      <c r="AF65" s="213"/>
      <c r="AG65" s="213"/>
      <c r="AH65" s="213"/>
      <c r="AI65" s="213"/>
      <c r="AJ65" s="213"/>
    </row>
    <row r="66" spans="1:36" ht="16.5" customHeight="1" x14ac:dyDescent="0.2">
      <c r="A66" s="345"/>
      <c r="B66" s="1"/>
      <c r="C66" s="349" t="s">
        <v>358</v>
      </c>
      <c r="D66" s="233" t="str">
        <f>IFERROR(IF(B62=1,T14,""),"")</f>
        <v/>
      </c>
      <c r="E66" s="1"/>
      <c r="F66" s="1"/>
      <c r="G66" s="1"/>
      <c r="H66" s="350"/>
      <c r="I66" s="221"/>
      <c r="J66" s="221"/>
      <c r="K66" s="232" t="s">
        <v>334</v>
      </c>
      <c r="L66" s="213"/>
      <c r="M66" s="213"/>
      <c r="N66" s="232">
        <f>IF(N53,1,0)</f>
        <v>0</v>
      </c>
      <c r="O66" s="213"/>
      <c r="P66" s="213" t="s">
        <v>338</v>
      </c>
      <c r="Q66" s="213"/>
      <c r="R66" s="213"/>
      <c r="S66" s="213"/>
      <c r="T66" s="213"/>
      <c r="U66" s="213"/>
      <c r="V66" s="213"/>
      <c r="W66" s="213"/>
      <c r="X66" s="213"/>
      <c r="Y66" s="213"/>
      <c r="Z66" s="213"/>
      <c r="AA66" s="213"/>
      <c r="AB66" s="213"/>
      <c r="AC66" s="213"/>
      <c r="AD66" s="213"/>
      <c r="AE66" s="213"/>
      <c r="AF66" s="213"/>
      <c r="AG66" s="213"/>
      <c r="AH66" s="213"/>
      <c r="AI66" s="213"/>
      <c r="AJ66" s="213"/>
    </row>
    <row r="67" spans="1:36" ht="16.5" customHeight="1" x14ac:dyDescent="0.2">
      <c r="A67" s="351"/>
      <c r="B67" s="352"/>
      <c r="C67" s="352"/>
      <c r="D67" s="353" t="str">
        <f>IFERROR(IF(B62=1,T15,""),"")</f>
        <v/>
      </c>
      <c r="E67" s="352"/>
      <c r="F67" s="352"/>
      <c r="G67" s="352"/>
      <c r="H67" s="354"/>
      <c r="I67" s="221"/>
      <c r="J67" s="221"/>
      <c r="K67" s="232"/>
      <c r="L67" s="213"/>
      <c r="M67" s="213"/>
      <c r="N67" s="232"/>
      <c r="O67" s="213"/>
      <c r="P67" s="213"/>
      <c r="Q67" s="213"/>
      <c r="R67" s="213"/>
      <c r="S67" s="213"/>
      <c r="T67" s="213"/>
      <c r="U67" s="213"/>
      <c r="V67" s="213"/>
      <c r="W67" s="213"/>
      <c r="X67" s="213"/>
      <c r="Y67" s="213"/>
      <c r="Z67" s="213"/>
      <c r="AA67" s="213"/>
      <c r="AB67" s="213"/>
      <c r="AC67" s="213"/>
      <c r="AD67" s="213"/>
      <c r="AE67" s="213"/>
      <c r="AF67" s="213"/>
      <c r="AG67" s="213"/>
      <c r="AH67" s="213"/>
      <c r="AI67" s="213"/>
      <c r="AJ67" s="213"/>
    </row>
    <row r="68" spans="1:36" ht="18" customHeight="1" x14ac:dyDescent="0.2">
      <c r="A68" s="1"/>
      <c r="B68" s="1"/>
      <c r="C68" s="1"/>
      <c r="D68" s="1"/>
      <c r="E68" s="1"/>
      <c r="F68" s="1"/>
      <c r="G68" s="1"/>
      <c r="H68" s="1"/>
      <c r="I68" s="221"/>
      <c r="J68" s="221"/>
      <c r="K68" s="232"/>
      <c r="L68" s="213"/>
      <c r="M68" s="213"/>
      <c r="N68" s="232"/>
      <c r="O68" s="213"/>
      <c r="P68" s="213"/>
      <c r="Q68" s="213"/>
      <c r="R68" s="213"/>
      <c r="S68" s="213"/>
      <c r="T68" s="213"/>
      <c r="U68" s="213"/>
      <c r="V68" s="213"/>
      <c r="W68" s="213"/>
      <c r="X68" s="213"/>
      <c r="Y68" s="213"/>
      <c r="Z68" s="213"/>
      <c r="AA68" s="213"/>
      <c r="AB68" s="213"/>
      <c r="AC68" s="213"/>
      <c r="AD68" s="213"/>
      <c r="AE68" s="213"/>
      <c r="AF68" s="213"/>
      <c r="AG68" s="213"/>
      <c r="AH68" s="213"/>
      <c r="AI68" s="213"/>
      <c r="AJ68" s="213"/>
    </row>
    <row r="69" spans="1:36" ht="16.5" customHeight="1" x14ac:dyDescent="0.2">
      <c r="A69" s="355" t="s">
        <v>485</v>
      </c>
      <c r="B69" s="356"/>
      <c r="C69" s="356"/>
      <c r="D69" s="356"/>
      <c r="E69" s="356"/>
      <c r="F69" s="356"/>
      <c r="G69" s="356"/>
      <c r="H69" s="357"/>
      <c r="I69" s="221"/>
      <c r="J69" s="221"/>
      <c r="K69" s="213"/>
      <c r="L69" s="213"/>
      <c r="M69" s="213"/>
      <c r="N69" s="213"/>
      <c r="O69" s="213"/>
      <c r="P69" s="213"/>
      <c r="Q69" s="213"/>
      <c r="R69" s="358"/>
      <c r="S69" s="358"/>
      <c r="T69" s="358"/>
      <c r="U69" s="213"/>
      <c r="V69" s="213"/>
      <c r="W69" s="213"/>
      <c r="X69" s="213"/>
      <c r="Y69" s="213"/>
      <c r="Z69" s="213"/>
      <c r="AA69" s="213"/>
      <c r="AB69" s="213"/>
      <c r="AC69" s="213"/>
      <c r="AD69" s="213"/>
      <c r="AE69" s="213"/>
      <c r="AF69" s="213"/>
      <c r="AG69" s="213"/>
      <c r="AH69" s="213"/>
      <c r="AI69" s="213"/>
      <c r="AJ69" s="213"/>
    </row>
    <row r="70" spans="1:36" ht="16.5" customHeight="1" x14ac:dyDescent="0.2">
      <c r="A70" s="359"/>
      <c r="B70" s="360"/>
      <c r="C70" s="360"/>
      <c r="D70" s="360"/>
      <c r="E70" s="360"/>
      <c r="F70" s="360"/>
      <c r="G70" s="360"/>
      <c r="H70" s="361"/>
      <c r="I70" s="221"/>
      <c r="J70" s="221"/>
      <c r="K70" s="213"/>
      <c r="L70" s="213"/>
      <c r="M70" s="213"/>
      <c r="N70" s="213"/>
      <c r="O70" s="213"/>
      <c r="P70" s="213"/>
      <c r="Q70" s="213"/>
      <c r="R70" s="358"/>
      <c r="S70" s="358"/>
      <c r="T70" s="358"/>
      <c r="U70" s="213"/>
      <c r="V70" s="213"/>
      <c r="W70" s="213"/>
      <c r="X70" s="213"/>
      <c r="Y70" s="213"/>
      <c r="Z70" s="213"/>
      <c r="AA70" s="213"/>
      <c r="AB70" s="213"/>
      <c r="AC70" s="213"/>
      <c r="AD70" s="213"/>
      <c r="AE70" s="213"/>
      <c r="AF70" s="213"/>
      <c r="AG70" s="213"/>
      <c r="AH70" s="213"/>
      <c r="AI70" s="213"/>
      <c r="AJ70" s="213"/>
    </row>
    <row r="71" spans="1:36" ht="16.5" customHeight="1" x14ac:dyDescent="0.2">
      <c r="A71" s="251"/>
      <c r="B71" s="331" t="s">
        <v>19</v>
      </c>
      <c r="C71" s="332" t="s">
        <v>17</v>
      </c>
      <c r="D71" s="332" t="s">
        <v>18</v>
      </c>
      <c r="H71" s="226"/>
      <c r="I71" s="221"/>
      <c r="J71" s="221"/>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row>
    <row r="72" spans="1:36" ht="16.5" customHeight="1" x14ac:dyDescent="0.2">
      <c r="A72" s="230" t="s">
        <v>478</v>
      </c>
      <c r="B72" s="370"/>
      <c r="C72" s="370"/>
      <c r="D72" s="370"/>
      <c r="E72" s="238" t="s">
        <v>479</v>
      </c>
      <c r="H72" s="226"/>
      <c r="I72" s="221"/>
      <c r="J72" s="281"/>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row>
    <row r="73" spans="1:36" ht="16.5" customHeight="1" x14ac:dyDescent="0.2">
      <c r="A73" s="230"/>
      <c r="B73" s="362"/>
      <c r="C73" s="362"/>
      <c r="D73" s="362"/>
      <c r="E73" s="239"/>
      <c r="H73" s="226"/>
      <c r="I73" s="221"/>
      <c r="J73" s="221"/>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row>
    <row r="74" spans="1:36" ht="16.5" customHeight="1" x14ac:dyDescent="0.2">
      <c r="A74" s="230" t="s">
        <v>484</v>
      </c>
      <c r="B74" s="370"/>
      <c r="C74" s="362"/>
      <c r="D74" s="362"/>
      <c r="E74" s="239"/>
      <c r="H74" s="226"/>
      <c r="I74" s="221"/>
      <c r="J74" s="221"/>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row>
    <row r="75" spans="1:36" ht="16.5" customHeight="1" x14ac:dyDescent="0.2">
      <c r="A75" s="273"/>
      <c r="B75" s="274"/>
      <c r="C75" s="274"/>
      <c r="D75" s="274"/>
      <c r="E75" s="274"/>
      <c r="F75" s="274"/>
      <c r="G75" s="274"/>
      <c r="H75" s="275"/>
      <c r="I75" s="221"/>
      <c r="J75" s="221"/>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row>
    <row r="76" spans="1:36" ht="16.5" customHeight="1" x14ac:dyDescent="0.2"/>
    <row r="77" spans="1:36" ht="16.5" customHeight="1" x14ac:dyDescent="0.2"/>
    <row r="78" spans="1:36" ht="16.5" customHeight="1" x14ac:dyDescent="0.2"/>
    <row r="79" spans="1:36" ht="16.5" customHeight="1" x14ac:dyDescent="0.2"/>
    <row r="80" spans="1:36" ht="16.5" customHeight="1" x14ac:dyDescent="0.2"/>
    <row r="81" ht="16.5" customHeight="1" x14ac:dyDescent="0.2"/>
    <row r="82" ht="16.5" customHeight="1" x14ac:dyDescent="0.2"/>
    <row r="83" ht="16.5" customHeight="1" x14ac:dyDescent="0.2"/>
    <row r="84" ht="16.5" customHeight="1" x14ac:dyDescent="0.2"/>
    <row r="85" ht="26.25" customHeight="1" x14ac:dyDescent="0.2"/>
    <row r="86" ht="16.5" customHeight="1" x14ac:dyDescent="0.2"/>
    <row r="87" ht="16.5" customHeight="1" x14ac:dyDescent="0.2"/>
    <row r="88" ht="16.5" customHeight="1" x14ac:dyDescent="0.2"/>
    <row r="89" ht="34.5" customHeight="1" x14ac:dyDescent="0.2"/>
    <row r="90" ht="35.25" customHeight="1" x14ac:dyDescent="0.2"/>
    <row r="91" ht="16.5" customHeight="1" x14ac:dyDescent="0.2"/>
    <row r="92" ht="16.5" customHeight="1" x14ac:dyDescent="0.2"/>
    <row r="93" ht="16.5" customHeight="1" x14ac:dyDescent="0.2"/>
    <row r="94" ht="16.5" customHeight="1" x14ac:dyDescent="0.2"/>
    <row r="95" ht="23.25" customHeight="1" x14ac:dyDescent="0.2"/>
    <row r="96" ht="16.5" customHeight="1" x14ac:dyDescent="0.2"/>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row r="109" ht="16.5" customHeight="1" x14ac:dyDescent="0.2"/>
    <row r="110" ht="16.5" customHeight="1" x14ac:dyDescent="0.2"/>
    <row r="111" ht="16.5" customHeight="1" x14ac:dyDescent="0.2"/>
    <row r="112" ht="50.2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6.5" customHeight="1" x14ac:dyDescent="0.2"/>
    <row r="121" ht="16.5" customHeight="1" x14ac:dyDescent="0.2"/>
    <row r="122" ht="16.5" customHeight="1" x14ac:dyDescent="0.2"/>
    <row r="123" ht="16.5" customHeight="1" x14ac:dyDescent="0.2"/>
    <row r="124" ht="16.5" customHeight="1" x14ac:dyDescent="0.2"/>
    <row r="125" ht="16.5" customHeight="1" x14ac:dyDescent="0.2"/>
    <row r="126" ht="16.5" customHeight="1" x14ac:dyDescent="0.2"/>
    <row r="127" ht="16.5" customHeight="1" x14ac:dyDescent="0.2"/>
    <row r="128" ht="16.5" customHeight="1" x14ac:dyDescent="0.2"/>
    <row r="129" ht="16.5" customHeight="1" x14ac:dyDescent="0.2"/>
    <row r="130" ht="16.5" customHeight="1" x14ac:dyDescent="0.2"/>
  </sheetData>
  <sheetProtection algorithmName="SHA-512" hashValue="pU/BW7Y3Kres2O5g0rD8/DiRipjoM6Tptwl0cD5c+Q0dgQtKfK8RwSD/negrRO0iEBtF2eoL0DEb+ub4S4uaHQ==" saltValue="uNn5XVtRoPdRwfczHvyAHQ==" spinCount="100000" sheet="1" objects="1" scenarios="1"/>
  <mergeCells count="20">
    <mergeCell ref="D64:H65"/>
    <mergeCell ref="F6:G6"/>
    <mergeCell ref="A35:G35"/>
    <mergeCell ref="E31:G31"/>
    <mergeCell ref="E32:G32"/>
    <mergeCell ref="E33:G33"/>
    <mergeCell ref="E30:G30"/>
    <mergeCell ref="F8:G10"/>
    <mergeCell ref="D26:G26"/>
    <mergeCell ref="D25:G25"/>
    <mergeCell ref="A25:B25"/>
    <mergeCell ref="A26:B26"/>
    <mergeCell ref="D62:H63"/>
    <mergeCell ref="B12:C16"/>
    <mergeCell ref="AB42:AD42"/>
    <mergeCell ref="D27:G27"/>
    <mergeCell ref="AB51:AC51"/>
    <mergeCell ref="A27:B27"/>
    <mergeCell ref="G42:H44"/>
    <mergeCell ref="E34:G34"/>
  </mergeCells>
  <phoneticPr fontId="39" type="noConversion"/>
  <conditionalFormatting sqref="B4">
    <cfRule type="cellIs" dxfId="17" priority="1" operator="equal">
      <formula>$AA$7</formula>
    </cfRule>
    <cfRule type="cellIs" dxfId="16" priority="2" operator="equal">
      <formula>$Z$7</formula>
    </cfRule>
  </conditionalFormatting>
  <conditionalFormatting sqref="B6">
    <cfRule type="cellIs" dxfId="15" priority="39" operator="equal">
      <formula>$AA$7</formula>
    </cfRule>
    <cfRule type="cellIs" dxfId="14" priority="40" operator="equal">
      <formula>$Z$7</formula>
    </cfRule>
  </conditionalFormatting>
  <conditionalFormatting sqref="B51">
    <cfRule type="cellIs" dxfId="13" priority="18" operator="greaterThanOrEqual">
      <formula>$Q$51</formula>
    </cfRule>
  </conditionalFormatting>
  <conditionalFormatting sqref="B54">
    <cfRule type="cellIs" dxfId="12" priority="43" operator="greaterThanOrEqual">
      <formula>$Q$54</formula>
    </cfRule>
  </conditionalFormatting>
  <conditionalFormatting sqref="B62:B65">
    <cfRule type="cellIs" dxfId="11" priority="23" operator="equal">
      <formula>"Nein"</formula>
    </cfRule>
    <cfRule type="cellIs" dxfId="10" priority="24" operator="equal">
      <formula>"Ja"</formula>
    </cfRule>
  </conditionalFormatting>
  <conditionalFormatting sqref="B72:B74">
    <cfRule type="cellIs" dxfId="9" priority="5" operator="greaterThanOrEqual">
      <formula>$Q$54</formula>
    </cfRule>
  </conditionalFormatting>
  <conditionalFormatting sqref="C25:C27">
    <cfRule type="cellIs" dxfId="8" priority="45" operator="equal">
      <formula>$S$23</formula>
    </cfRule>
  </conditionalFormatting>
  <conditionalFormatting sqref="C54">
    <cfRule type="cellIs" dxfId="7" priority="42" operator="greaterThanOrEqual">
      <formula>$R$54</formula>
    </cfRule>
  </conditionalFormatting>
  <conditionalFormatting sqref="C72:C74">
    <cfRule type="cellIs" dxfId="6" priority="4" operator="greaterThanOrEqual">
      <formula>$R$54</formula>
    </cfRule>
  </conditionalFormatting>
  <conditionalFormatting sqref="C30:D34">
    <cfRule type="cellIs" dxfId="5" priority="6" operator="equal">
      <formula>$Z$35</formula>
    </cfRule>
    <cfRule type="cellIs" dxfId="4" priority="7" operator="equal">
      <formula>$Y$35</formula>
    </cfRule>
  </conditionalFormatting>
  <conditionalFormatting sqref="D54">
    <cfRule type="cellIs" dxfId="3" priority="41" operator="greaterThanOrEqual">
      <formula>$S$54</formula>
    </cfRule>
  </conditionalFormatting>
  <conditionalFormatting sqref="D72:D74">
    <cfRule type="cellIs" dxfId="2" priority="3" operator="greaterThanOrEqual">
      <formula>$S$54</formula>
    </cfRule>
  </conditionalFormatting>
  <conditionalFormatting sqref="F53">
    <cfRule type="cellIs" dxfId="1" priority="38" operator="equal">
      <formula>"Eher Ja"</formula>
    </cfRule>
  </conditionalFormatting>
  <conditionalFormatting sqref="F56">
    <cfRule type="cellIs" dxfId="0" priority="37" operator="equal">
      <formula>"Eher Ja"</formula>
    </cfRule>
  </conditionalFormatting>
  <dataValidations xWindow="948" yWindow="390" count="12">
    <dataValidation type="list" allowBlank="1" showInputMessage="1" showErrorMessage="1" promptTitle="Verfahren" prompt="Um welches Verfahren handelt es sich?" sqref="B6">
      <formula1>$Y$7:$AC$7</formula1>
    </dataValidation>
    <dataValidation type="list" allowBlank="1" showInputMessage="1" showErrorMessage="1" sqref="C25:C27">
      <formula1>$S$23:$U$23</formula1>
    </dataValidation>
    <dataValidation type="list" allowBlank="1" showInputMessage="1" showErrorMessage="1" sqref="C30:D34">
      <formula1>$U$35:$AA$35</formula1>
    </dataValidation>
    <dataValidation type="list" allowBlank="1" showInputMessage="1" showErrorMessage="1" sqref="B40">
      <formula1>$AA$44:$AA$47</formula1>
    </dataValidation>
    <dataValidation type="list" allowBlank="1" showInputMessage="1" showErrorMessage="1" sqref="B39">
      <formula1>$AB$43:$AD$43</formula1>
    </dataValidation>
    <dataValidation type="decimal" allowBlank="1" showInputMessage="1" showErrorMessage="1" promptTitle="Manuelle Anpassung" prompt="Eine manuelle Änderung ist im Planungsbericht bzw. im Baugesuch zu begründen, z.B. mit Vorgabe im kommunalen Parkplatzreglement oder mit spezifischer Massnahme am Vorhaben." sqref="F43">
      <formula1>0</formula1>
      <formula2>1</formula2>
    </dataValidation>
    <dataValidation type="list" allowBlank="1" showInputMessage="1" showErrorMessage="1" promptTitle="Gemeinde" prompt="In welcher Gemeinde ist das Vorhaben geplant?" sqref="F6">
      <formula1>$AE$8:$AE$35</formula1>
    </dataValidation>
    <dataValidation allowBlank="1" showInputMessage="1" showErrorMessage="1" promptTitle="Kurzbeschrieb Nutzung" prompt="3-4 Stichworte zur geplanten Nutzung" sqref="B12"/>
    <dataValidation allowBlank="1" showInputMessage="1" showErrorMessage="1" promptTitle="Bauherrschaft / Kontakt Fachplan" prompt="Bitte geben Sie hier die Kontaktdaten der Bauherrschaft oder der zuständigen Fachplaner an" sqref="F8:G10"/>
    <dataValidation allowBlank="1" showInputMessage="1" showErrorMessage="1" promptTitle="Eröffnung" prompt="Wann ist die Eröffnung bzw. die Fertigstellung des Vorhabens geplant?" sqref="B8"/>
    <dataValidation allowBlank="1" showInputMessage="1" showErrorMessage="1" promptTitle="Projektnummer" prompt="Die Projektnummer wird durch die Abteilung Raum und Wirtschaft (rawi) mitgeteilt." sqref="B4"/>
    <dataValidation allowBlank="1" showInputMessage="1" showErrorMessage="1" promptTitle="Koordinaten" prompt="Die Koordinaten lassen sich durch einen Mausklick auf die entsprechende Parzelle auf der Website https://www.geo.lu.ch/map/grundbuchplan/ im Infofenster am unteren Rand abrufen." sqref="D20 F20"/>
  </dataValidations>
  <hyperlinks>
    <hyperlink ref="E48" location="'Grundlagen Verkehr'!A1" display="Grundlagen Verkehr"/>
    <hyperlink ref="G20" r:id="rId1"/>
  </hyperlinks>
  <pageMargins left="0.7" right="0.7" top="0.78740157499999996" bottom="0.78740157499999996" header="0.3" footer="0.3"/>
  <pageSetup paperSize="9" scale="52" orientation="portrait" r:id="rId2"/>
  <headerFooter>
    <oddFooter>&amp;L&amp;F/&amp;A&amp;C&amp;D&amp;RSeite &amp;P von &amp;N</oddFooter>
  </headerFooter>
  <rowBreaks count="1" manualBreakCount="1">
    <brk id="92" max="16383" man="1"/>
  </rowBreaks>
  <colBreaks count="1" manualBreakCount="1">
    <brk id="15" max="5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FFFF00"/>
  </sheetPr>
  <dimension ref="A1:BA322"/>
  <sheetViews>
    <sheetView tabSelected="1" zoomScaleNormal="100" zoomScaleSheetLayoutView="55" workbookViewId="0">
      <selection activeCell="N4" sqref="N4"/>
    </sheetView>
  </sheetViews>
  <sheetFormatPr baseColWidth="10" defaultColWidth="11" defaultRowHeight="16.5" customHeight="1" x14ac:dyDescent="0.2"/>
  <cols>
    <col min="1" max="1" width="58.875" style="73" customWidth="1"/>
    <col min="2" max="8" width="15.5" style="73" customWidth="1"/>
    <col min="9" max="9" width="16.25" style="73" customWidth="1"/>
    <col min="10" max="10" width="18" style="73" customWidth="1"/>
    <col min="11" max="11" width="18" style="73" bestFit="1" customWidth="1"/>
    <col min="12" max="12" width="16.625" style="73" customWidth="1"/>
    <col min="13" max="14" width="17" style="73" customWidth="1"/>
    <col min="15" max="15" width="17.375" style="73" customWidth="1"/>
    <col min="16" max="16" width="17.5" style="73" customWidth="1"/>
    <col min="17" max="17" width="17.875" style="73" customWidth="1"/>
    <col min="18" max="18" width="16" style="73" customWidth="1"/>
    <col min="19" max="19" width="11" style="73"/>
    <col min="20" max="22" width="15.625" style="73" customWidth="1"/>
    <col min="23" max="23" width="11" style="73"/>
    <col min="24" max="24" width="39.875" style="73" customWidth="1"/>
    <col min="25" max="29" width="11" style="73"/>
    <col min="30" max="30" width="26.125" style="73" customWidth="1"/>
    <col min="31" max="34" width="11" style="73"/>
    <col min="35" max="35" width="41.125" style="73" customWidth="1"/>
    <col min="36" max="36" width="11" style="73"/>
    <col min="37" max="37" width="12.5" style="73" customWidth="1"/>
    <col min="38" max="16384" width="11" style="73"/>
  </cols>
  <sheetData>
    <row r="1" spans="1:38" ht="36.75" customHeight="1" x14ac:dyDescent="0.2">
      <c r="A1" s="72" t="s">
        <v>240</v>
      </c>
      <c r="B1" s="1"/>
      <c r="C1" s="1"/>
      <c r="D1" s="1"/>
      <c r="E1" s="1"/>
      <c r="F1" s="1"/>
      <c r="G1" s="1"/>
      <c r="H1" s="1"/>
      <c r="I1" s="1"/>
      <c r="J1" s="1"/>
      <c r="K1" s="1"/>
      <c r="L1" s="1"/>
      <c r="M1" s="1"/>
      <c r="N1" s="1"/>
      <c r="Q1" s="1" t="s">
        <v>97</v>
      </c>
      <c r="R1" s="74">
        <f ca="1">Verkehrsrelevanz!H1</f>
        <v>45469</v>
      </c>
    </row>
    <row r="2" spans="1:38" ht="15" customHeight="1" x14ac:dyDescent="0.2">
      <c r="A2" s="72"/>
      <c r="B2" s="1"/>
      <c r="C2" s="1"/>
      <c r="D2" s="1"/>
      <c r="E2" s="1"/>
      <c r="F2" s="1"/>
      <c r="G2" s="1"/>
      <c r="H2" s="1"/>
      <c r="I2" s="1"/>
      <c r="J2" s="1"/>
      <c r="K2" s="1"/>
      <c r="L2" s="1"/>
      <c r="M2" s="1"/>
      <c r="N2" s="1"/>
      <c r="Q2" s="1"/>
      <c r="R2" s="74"/>
    </row>
    <row r="3" spans="1:38" ht="69.75" customHeight="1" x14ac:dyDescent="0.2">
      <c r="A3" s="75" t="s">
        <v>470</v>
      </c>
      <c r="B3" s="76" t="s">
        <v>373</v>
      </c>
      <c r="C3" s="77" t="s">
        <v>492</v>
      </c>
      <c r="D3" s="77" t="s">
        <v>374</v>
      </c>
      <c r="E3" s="77" t="s">
        <v>501</v>
      </c>
      <c r="F3" s="77" t="s">
        <v>502</v>
      </c>
      <c r="G3" s="77" t="s">
        <v>503</v>
      </c>
      <c r="H3" s="77" t="s">
        <v>504</v>
      </c>
      <c r="I3" s="77" t="s">
        <v>491</v>
      </c>
      <c r="J3" s="77" t="s">
        <v>476</v>
      </c>
      <c r="K3" s="77" t="s">
        <v>476</v>
      </c>
      <c r="L3" s="77" t="s">
        <v>34</v>
      </c>
      <c r="M3" s="77" t="s">
        <v>493</v>
      </c>
      <c r="N3" s="1"/>
      <c r="O3" s="14"/>
      <c r="P3" s="14"/>
      <c r="R3" s="74"/>
    </row>
    <row r="4" spans="1:38" ht="23.25" customHeight="1" x14ac:dyDescent="0.2">
      <c r="A4" s="78" t="s">
        <v>375</v>
      </c>
      <c r="B4" s="70"/>
      <c r="C4" s="70"/>
      <c r="D4" s="71"/>
      <c r="E4" s="71"/>
      <c r="F4" s="71"/>
      <c r="G4" s="71"/>
      <c r="H4" s="71"/>
      <c r="I4" s="70"/>
      <c r="J4" s="79">
        <f>SUMIF('Kennwerte Siedlungsdaten'!$C$7:$K$7, 'Grundlagen Verkehr'!$I$14, 'Kennwerte Siedlungsdaten'!C16:K16)*B4</f>
        <v>0</v>
      </c>
      <c r="K4" s="79" t="e">
        <f>INDEX('Kennwerte Siedlungsdaten'!C$8:K$15,MATCH(M4,'Kennwerte Siedlungsdaten'!B$8:B$15,0),MATCH($I$14,'Kennwerte Siedlungsdaten'!C$7:K$7,0))*B4</f>
        <v>#N/A</v>
      </c>
      <c r="L4" s="79" t="str">
        <f>IF(AND(ISNUMBER(J4), ISNUMBER(K4)), (J4+K4)/2,"")</f>
        <v/>
      </c>
      <c r="M4" s="80" t="str">
        <f t="shared" ref="M4:M9" si="0">IF($I4&lt;=29,"0-29",IF($I4&lt;=39,"30-39",IF($I4&lt;=59,"40-59",IF($I4&lt;=79,"60-79",IF($I4&lt;=99,"80-99",IF($I4&lt;=119,"100-119",IF($I4&lt;=159,"120-159","160-999")))))))</f>
        <v>0-29</v>
      </c>
      <c r="N4" s="1"/>
      <c r="R4" s="74"/>
    </row>
    <row r="5" spans="1:38" ht="23.25" customHeight="1" x14ac:dyDescent="0.2">
      <c r="A5" s="78" t="s">
        <v>376</v>
      </c>
      <c r="B5" s="70"/>
      <c r="C5" s="70"/>
      <c r="D5" s="71"/>
      <c r="E5" s="71"/>
      <c r="F5" s="71"/>
      <c r="G5" s="71"/>
      <c r="H5" s="71"/>
      <c r="I5" s="70"/>
      <c r="J5" s="79">
        <f>SUMIF('Kennwerte Siedlungsdaten'!$C$7:$K$7, 'Grundlagen Verkehr'!$I$14, 'Kennwerte Siedlungsdaten'!C17:K17)*$B5</f>
        <v>0</v>
      </c>
      <c r="K5" s="79" t="e">
        <f>INDEX('Kennwerte Siedlungsdaten'!C$8:K$15,MATCH(M5,'Kennwerte Siedlungsdaten'!B$8:B$15,0),MATCH($I$14,'Kennwerte Siedlungsdaten'!C$7:K$7,0))*B5</f>
        <v>#N/A</v>
      </c>
      <c r="L5" s="79" t="str">
        <f t="shared" ref="L5:L9" si="1">IF(AND(ISNUMBER(J5), ISNUMBER(K5)), (J5+K5)/2,"")</f>
        <v/>
      </c>
      <c r="M5" s="80" t="str">
        <f t="shared" si="0"/>
        <v>0-29</v>
      </c>
      <c r="N5" s="1"/>
      <c r="R5" s="74"/>
    </row>
    <row r="6" spans="1:38" ht="23.25" customHeight="1" x14ac:dyDescent="0.2">
      <c r="A6" s="78" t="s">
        <v>377</v>
      </c>
      <c r="B6" s="70"/>
      <c r="C6" s="70"/>
      <c r="D6" s="71"/>
      <c r="E6" s="71"/>
      <c r="F6" s="71"/>
      <c r="G6" s="71"/>
      <c r="H6" s="71"/>
      <c r="I6" s="70"/>
      <c r="J6" s="79">
        <f>SUMIF('Kennwerte Siedlungsdaten'!$C$7:$K$7, 'Grundlagen Verkehr'!$I$14, 'Kennwerte Siedlungsdaten'!C18:K18)*$B6</f>
        <v>0</v>
      </c>
      <c r="K6" s="79" t="e">
        <f>INDEX('Kennwerte Siedlungsdaten'!C$8:K$15,MATCH(M6,'Kennwerte Siedlungsdaten'!B$8:B$15,0),MATCH($I$14,'Kennwerte Siedlungsdaten'!C$7:K$7,0))*B6</f>
        <v>#N/A</v>
      </c>
      <c r="L6" s="79" t="str">
        <f t="shared" si="1"/>
        <v/>
      </c>
      <c r="M6" s="80" t="str">
        <f t="shared" si="0"/>
        <v>0-29</v>
      </c>
      <c r="N6" s="1"/>
      <c r="R6" s="74"/>
    </row>
    <row r="7" spans="1:38" ht="23.25" customHeight="1" x14ac:dyDescent="0.2">
      <c r="A7" s="78" t="s">
        <v>378</v>
      </c>
      <c r="B7" s="70"/>
      <c r="C7" s="70"/>
      <c r="D7" s="71"/>
      <c r="E7" s="71"/>
      <c r="F7" s="71"/>
      <c r="G7" s="71"/>
      <c r="H7" s="71"/>
      <c r="I7" s="70"/>
      <c r="J7" s="79">
        <f>SUMIF('Kennwerte Siedlungsdaten'!$C$7:$K$7, 'Grundlagen Verkehr'!$I$14, 'Kennwerte Siedlungsdaten'!C19:K19)*$B7</f>
        <v>0</v>
      </c>
      <c r="K7" s="79" t="e">
        <f>INDEX('Kennwerte Siedlungsdaten'!C$8:K$15,MATCH(M7,'Kennwerte Siedlungsdaten'!B$8:B$15,0),MATCH($I$14,'Kennwerte Siedlungsdaten'!C$7:K$7,0))*B7</f>
        <v>#N/A</v>
      </c>
      <c r="L7" s="79" t="str">
        <f t="shared" si="1"/>
        <v/>
      </c>
      <c r="M7" s="80" t="str">
        <f t="shared" si="0"/>
        <v>0-29</v>
      </c>
      <c r="N7" s="1"/>
      <c r="R7" s="74"/>
    </row>
    <row r="8" spans="1:38" ht="23.25" customHeight="1" x14ac:dyDescent="0.2">
      <c r="A8" s="78" t="s">
        <v>379</v>
      </c>
      <c r="B8" s="70"/>
      <c r="C8" s="70"/>
      <c r="D8" s="71"/>
      <c r="E8" s="71"/>
      <c r="F8" s="71"/>
      <c r="G8" s="71"/>
      <c r="H8" s="71"/>
      <c r="I8" s="70"/>
      <c r="J8" s="79">
        <f>SUMIF('Kennwerte Siedlungsdaten'!$C$7:$K$7, 'Grundlagen Verkehr'!$I$14, 'Kennwerte Siedlungsdaten'!C20:K20)*$B8</f>
        <v>0</v>
      </c>
      <c r="K8" s="79" t="e">
        <f>INDEX('Kennwerte Siedlungsdaten'!C$8:K$15,MATCH(M8,'Kennwerte Siedlungsdaten'!B$8:B$15,0),MATCH($I$14,'Kennwerte Siedlungsdaten'!C$7:K$7,0))*B8</f>
        <v>#N/A</v>
      </c>
      <c r="L8" s="79" t="str">
        <f t="shared" si="1"/>
        <v/>
      </c>
      <c r="M8" s="80" t="str">
        <f t="shared" si="0"/>
        <v>0-29</v>
      </c>
      <c r="N8" s="1"/>
      <c r="R8" s="74"/>
    </row>
    <row r="9" spans="1:38" ht="23.25" customHeight="1" x14ac:dyDescent="0.2">
      <c r="A9" s="78" t="s">
        <v>380</v>
      </c>
      <c r="B9" s="70"/>
      <c r="C9" s="70"/>
      <c r="D9" s="71"/>
      <c r="E9" s="71"/>
      <c r="F9" s="71"/>
      <c r="G9" s="71"/>
      <c r="H9" s="71"/>
      <c r="I9" s="70"/>
      <c r="J9" s="79">
        <f>SUMIF('Kennwerte Siedlungsdaten'!$C$7:$K$7, 'Grundlagen Verkehr'!$I$14, 'Kennwerte Siedlungsdaten'!C21:K21)*$B9</f>
        <v>0</v>
      </c>
      <c r="K9" s="79" t="e">
        <f>INDEX('Kennwerte Siedlungsdaten'!C$8:K$15,MATCH(M9,'Kennwerte Siedlungsdaten'!B$8:B$15,0),MATCH($I$14,'Kennwerte Siedlungsdaten'!C$7:K$7,0))*B9</f>
        <v>#N/A</v>
      </c>
      <c r="L9" s="79" t="str">
        <f t="shared" si="1"/>
        <v/>
      </c>
      <c r="M9" s="80" t="str">
        <f t="shared" si="0"/>
        <v>0-29</v>
      </c>
      <c r="N9" s="1"/>
      <c r="R9" s="74"/>
    </row>
    <row r="10" spans="1:38" ht="17.25" customHeight="1" x14ac:dyDescent="0.2">
      <c r="A10" s="72"/>
      <c r="B10" s="81"/>
      <c r="C10" s="81"/>
      <c r="D10" s="1"/>
      <c r="E10" s="1"/>
      <c r="F10" s="1"/>
      <c r="G10" s="1"/>
      <c r="H10" s="1"/>
      <c r="I10" s="82" t="s">
        <v>499</v>
      </c>
      <c r="J10" s="82" t="s">
        <v>496</v>
      </c>
      <c r="K10" s="82" t="s">
        <v>497</v>
      </c>
      <c r="L10" s="82" t="s">
        <v>500</v>
      </c>
      <c r="M10" s="83"/>
      <c r="N10" s="83"/>
      <c r="Q10" s="1"/>
      <c r="R10" s="74"/>
    </row>
    <row r="11" spans="1:38" ht="16.5" customHeight="1" x14ac:dyDescent="0.2">
      <c r="A11" s="2" t="s">
        <v>369</v>
      </c>
      <c r="B11" s="2"/>
      <c r="C11" s="2"/>
      <c r="D11" s="2"/>
      <c r="E11" s="2"/>
      <c r="F11" s="2"/>
      <c r="G11" s="2"/>
      <c r="H11" s="2"/>
      <c r="I11" s="79">
        <f>SUM(B4*I4+B5*I5+B6*I6+B7*I7+B8*I8+B9*I9)</f>
        <v>0</v>
      </c>
      <c r="J11" s="82">
        <f>SUM(J4:J9)</f>
        <v>0</v>
      </c>
      <c r="K11" s="82" t="e">
        <f>SUM(K4:K9)</f>
        <v>#N/A</v>
      </c>
      <c r="L11" s="82">
        <f>SUM(L4:L9)</f>
        <v>0</v>
      </c>
      <c r="M11" s="2"/>
      <c r="N11" s="2"/>
      <c r="P11" s="2"/>
      <c r="Q11" s="2"/>
      <c r="R11" s="2"/>
    </row>
    <row r="12" spans="1:38" ht="16.5" customHeight="1" x14ac:dyDescent="0.2">
      <c r="A12" s="2"/>
      <c r="B12" s="3" t="s">
        <v>185</v>
      </c>
      <c r="C12" s="2"/>
      <c r="D12" s="2"/>
      <c r="E12" s="2"/>
      <c r="F12" s="2"/>
      <c r="G12" s="2"/>
      <c r="H12" s="2"/>
      <c r="I12" s="2"/>
      <c r="J12" s="15"/>
      <c r="K12" s="2"/>
      <c r="L12" s="2"/>
      <c r="M12" s="2"/>
      <c r="N12" s="2"/>
      <c r="O12" s="84" t="s">
        <v>10</v>
      </c>
      <c r="P12" s="85" t="s">
        <v>204</v>
      </c>
      <c r="Q12" s="86"/>
      <c r="R12" s="86"/>
      <c r="T12" s="87" t="s">
        <v>213</v>
      </c>
      <c r="Y12" s="87" t="s">
        <v>205</v>
      </c>
      <c r="AB12" s="88"/>
      <c r="AC12" s="88"/>
      <c r="AI12" s="87" t="s">
        <v>209</v>
      </c>
    </row>
    <row r="13" spans="1:38" ht="68.25" customHeight="1" x14ac:dyDescent="0.2">
      <c r="A13" s="2"/>
      <c r="B13" s="89" t="s">
        <v>183</v>
      </c>
      <c r="C13" s="89" t="s">
        <v>9</v>
      </c>
      <c r="D13" s="2"/>
      <c r="E13" s="2"/>
      <c r="F13" s="90"/>
      <c r="G13" s="2"/>
      <c r="H13" s="77" t="s">
        <v>493</v>
      </c>
      <c r="I13" s="77" t="s">
        <v>494</v>
      </c>
      <c r="J13" s="77" t="s">
        <v>491</v>
      </c>
      <c r="K13" s="77" t="s">
        <v>476</v>
      </c>
      <c r="L13" s="14"/>
      <c r="M13" s="14"/>
      <c r="N13" s="14"/>
      <c r="O13" s="89" t="s">
        <v>32</v>
      </c>
      <c r="P13" s="91" t="s">
        <v>201</v>
      </c>
      <c r="Q13" s="91" t="s">
        <v>202</v>
      </c>
      <c r="R13" s="91" t="s">
        <v>203</v>
      </c>
      <c r="T13" s="92" t="s">
        <v>208</v>
      </c>
      <c r="U13" s="92" t="s">
        <v>207</v>
      </c>
      <c r="V13" s="92" t="s">
        <v>179</v>
      </c>
      <c r="Y13" s="92" t="s">
        <v>192</v>
      </c>
      <c r="Z13" s="93" t="s">
        <v>194</v>
      </c>
      <c r="AA13" s="93" t="s">
        <v>189</v>
      </c>
      <c r="AB13" s="93" t="s">
        <v>70</v>
      </c>
      <c r="AC13" s="93" t="s">
        <v>71</v>
      </c>
      <c r="AI13" s="94" t="s">
        <v>211</v>
      </c>
      <c r="AJ13" s="94" t="s">
        <v>210</v>
      </c>
      <c r="AK13" s="94" t="s">
        <v>212</v>
      </c>
      <c r="AL13" s="94" t="s">
        <v>179</v>
      </c>
    </row>
    <row r="14" spans="1:38" ht="33" customHeight="1" x14ac:dyDescent="0.2">
      <c r="A14" s="78" t="s">
        <v>21</v>
      </c>
      <c r="B14" s="183"/>
      <c r="C14" s="183"/>
      <c r="D14" s="95" t="s">
        <v>236</v>
      </c>
      <c r="E14" s="95"/>
      <c r="F14" s="95"/>
      <c r="G14" s="95"/>
      <c r="H14" s="96" t="e">
        <f>IF(J14&lt;=29,"0-29",IF(J14&lt;=39,"30-39",IF(J14&lt;=59,"40-59",IF(J14&lt;=79,"60-79",IF(J14&lt;=99,"80-99",IF(J14&lt;=119,"100-119",IF(J14&lt;=159,"120-159","160-999")))))))</f>
        <v>#DIV/0!</v>
      </c>
      <c r="I14" s="97" t="e">
        <f>VLOOKUP(Verkehrsrelevanz!F6, 'Kennwerte Siedlungsdaten'!A81:C161, 3, FALSE)</f>
        <v>#N/A</v>
      </c>
      <c r="J14" s="97" t="e">
        <f>B14/C14</f>
        <v>#DIV/0!</v>
      </c>
      <c r="K14" s="98" t="e">
        <f>INDEX('Kennwerte Siedlungsdaten'!C8:K15,MATCH(H14,'Kennwerte Siedlungsdaten'!B8:B15,0),MATCH(I14,'Kennwerte Siedlungsdaten'!C7:K7,0))*C14</f>
        <v>#DIV/0!</v>
      </c>
      <c r="L14"/>
      <c r="M14" s="2"/>
      <c r="N14" s="2"/>
      <c r="O14" s="99">
        <f>SUM(T14:V14)</f>
        <v>0</v>
      </c>
      <c r="P14" s="100">
        <f>AA14*O14</f>
        <v>0</v>
      </c>
      <c r="Q14" s="100">
        <f>P14*AB14</f>
        <v>0</v>
      </c>
      <c r="R14" s="101">
        <f>P14*AC14</f>
        <v>0</v>
      </c>
      <c r="T14" s="102">
        <f>MAX(B14/AJ14,C14*$AI$14)</f>
        <v>0</v>
      </c>
      <c r="U14" s="103">
        <f>ROUNDUP(T14*AK14,0)</f>
        <v>0</v>
      </c>
      <c r="V14" s="104"/>
      <c r="Y14" s="105"/>
      <c r="Z14" s="87"/>
      <c r="AA14" s="106">
        <v>2</v>
      </c>
      <c r="AB14" s="107">
        <v>0.3</v>
      </c>
      <c r="AC14" s="107">
        <v>0.2</v>
      </c>
      <c r="AI14" s="373">
        <v>1</v>
      </c>
      <c r="AJ14" s="374">
        <v>100</v>
      </c>
      <c r="AK14" s="375">
        <v>0.1</v>
      </c>
      <c r="AL14" s="105"/>
    </row>
    <row r="15" spans="1:38" s="109" customFormat="1" ht="35.25" customHeight="1" x14ac:dyDescent="0.2">
      <c r="A15"/>
      <c r="B15" s="108">
        <f>O14*AJ14</f>
        <v>0</v>
      </c>
      <c r="C15"/>
      <c r="D15"/>
      <c r="E15"/>
      <c r="F15"/>
      <c r="G15"/>
      <c r="H15"/>
      <c r="I15"/>
      <c r="J15"/>
      <c r="K15"/>
      <c r="M15"/>
      <c r="N15"/>
      <c r="O15"/>
      <c r="P15"/>
      <c r="Q15"/>
      <c r="R15"/>
      <c r="Y15" s="88"/>
      <c r="Z15" s="88"/>
      <c r="AB15" s="88"/>
      <c r="AC15" s="88"/>
      <c r="AI15" s="87" t="s">
        <v>206</v>
      </c>
      <c r="AJ15" s="73"/>
      <c r="AK15" s="73"/>
    </row>
    <row r="16" spans="1:38" s="109" customFormat="1" ht="54.75" customHeight="1" x14ac:dyDescent="0.2">
      <c r="A16"/>
      <c r="B16" s="89" t="s">
        <v>183</v>
      </c>
      <c r="C16" s="89" t="s">
        <v>186</v>
      </c>
      <c r="D16" s="89" t="s">
        <v>187</v>
      </c>
      <c r="E16" s="89" t="s">
        <v>505</v>
      </c>
      <c r="F16" s="77" t="s">
        <v>374</v>
      </c>
      <c r="G16" s="77" t="s">
        <v>506</v>
      </c>
      <c r="H16" s="77" t="s">
        <v>502</v>
      </c>
      <c r="I16" s="77" t="s">
        <v>503</v>
      </c>
      <c r="J16" s="77" t="s">
        <v>504</v>
      </c>
      <c r="K16" s="77" t="s">
        <v>477</v>
      </c>
      <c r="L16" s="14"/>
      <c r="M16" s="14"/>
      <c r="N16" s="14"/>
      <c r="O16" s="89" t="s">
        <v>32</v>
      </c>
      <c r="P16" s="91" t="s">
        <v>201</v>
      </c>
      <c r="Q16" s="91" t="s">
        <v>202</v>
      </c>
      <c r="R16" s="91" t="s">
        <v>203</v>
      </c>
      <c r="T16" s="92" t="s">
        <v>149</v>
      </c>
      <c r="U16" s="92" t="s">
        <v>150</v>
      </c>
      <c r="V16" s="92" t="s">
        <v>179</v>
      </c>
      <c r="Y16" s="92" t="s">
        <v>192</v>
      </c>
      <c r="Z16" s="93" t="s">
        <v>194</v>
      </c>
      <c r="AA16" s="93" t="s">
        <v>189</v>
      </c>
      <c r="AB16" s="93" t="s">
        <v>70</v>
      </c>
      <c r="AC16" s="93" t="s">
        <v>71</v>
      </c>
      <c r="AI16" s="93" t="s">
        <v>151</v>
      </c>
      <c r="AJ16" s="92" t="s">
        <v>149</v>
      </c>
      <c r="AK16" s="92" t="s">
        <v>150</v>
      </c>
      <c r="AL16" s="92" t="s">
        <v>179</v>
      </c>
    </row>
    <row r="17" spans="1:39" ht="22.5" customHeight="1" x14ac:dyDescent="0.2">
      <c r="A17" s="78" t="s">
        <v>105</v>
      </c>
      <c r="B17" s="184"/>
      <c r="C17" s="110"/>
      <c r="D17" s="110"/>
      <c r="E17" s="110"/>
      <c r="F17" s="71"/>
      <c r="G17" s="71"/>
      <c r="H17" s="71"/>
      <c r="I17" s="71"/>
      <c r="J17" s="71"/>
      <c r="K17" s="79" t="e">
        <f>SUMIF('Kennwerte Siedlungsdaten'!$C$7:$K$7, 'Grundlagen Verkehr'!$I$14, 'Kennwerte Siedlungsdaten'!C22:K22)/B17</f>
        <v>#DIV/0!</v>
      </c>
      <c r="L17" s="3"/>
      <c r="M17" s="2"/>
      <c r="N17" s="2"/>
      <c r="O17" s="111">
        <f>SUM(T17:V17)</f>
        <v>0</v>
      </c>
      <c r="P17" s="112">
        <f>AA17*O17</f>
        <v>0</v>
      </c>
      <c r="Q17" s="112">
        <f>P17*AB17</f>
        <v>0</v>
      </c>
      <c r="R17" s="113">
        <f>P17*AC17</f>
        <v>0</v>
      </c>
      <c r="T17" s="114">
        <f>AJ17*$B17/100</f>
        <v>0</v>
      </c>
      <c r="U17" s="115">
        <f>AK17*$B17/100</f>
        <v>0</v>
      </c>
      <c r="V17" s="116"/>
      <c r="X17" s="73" t="str">
        <f>A17</f>
        <v>Industrie, Gewerbe</v>
      </c>
      <c r="Y17" s="371" t="s">
        <v>8</v>
      </c>
      <c r="Z17" s="371" t="s">
        <v>34</v>
      </c>
      <c r="AA17" s="117">
        <f>INDEX($B$208:$P$216,MATCH($Y17,$A$208:$A$216,0),MATCH($Z17,$B$207:$P$207,0))</f>
        <v>2.6</v>
      </c>
      <c r="AB17" s="118">
        <v>0.3</v>
      </c>
      <c r="AC17" s="118">
        <v>0.1</v>
      </c>
      <c r="AI17" s="73" t="s">
        <v>152</v>
      </c>
      <c r="AJ17" s="117">
        <v>1</v>
      </c>
      <c r="AK17" s="117">
        <v>0.3</v>
      </c>
      <c r="AL17" s="117"/>
    </row>
    <row r="18" spans="1:39" ht="22.5" customHeight="1" x14ac:dyDescent="0.2">
      <c r="A18" s="78" t="s">
        <v>106</v>
      </c>
      <c r="B18" s="185"/>
      <c r="C18" s="110"/>
      <c r="D18" s="110"/>
      <c r="E18" s="110"/>
      <c r="F18" s="71"/>
      <c r="G18" s="71"/>
      <c r="H18" s="71"/>
      <c r="I18" s="71"/>
      <c r="J18" s="71"/>
      <c r="K18" s="79" t="e">
        <f>SUMIF('Kennwerte Siedlungsdaten'!$C$7:$K$7, 'Grundlagen Verkehr'!$I$14, 'Kennwerte Siedlungsdaten'!C23:K23)/'Grundlagen Verkehr'!B18</f>
        <v>#DIV/0!</v>
      </c>
      <c r="L18" s="3"/>
      <c r="M18" s="2"/>
      <c r="N18" s="2"/>
      <c r="O18" s="111">
        <f>SUM(T18:V18)</f>
        <v>0</v>
      </c>
      <c r="P18" s="110">
        <f>AA18*O18</f>
        <v>0</v>
      </c>
      <c r="Q18" s="110">
        <f>P18*AB18</f>
        <v>0</v>
      </c>
      <c r="R18" s="5">
        <f>P18*AC18</f>
        <v>0</v>
      </c>
      <c r="T18" s="120">
        <f>AJ18*$B18/100</f>
        <v>0</v>
      </c>
      <c r="U18" s="117">
        <f>AK18*$B18/100</f>
        <v>0</v>
      </c>
      <c r="V18" s="121"/>
      <c r="X18" s="73" t="str">
        <f>A18</f>
        <v>Laggerräume, Lagerplätze</v>
      </c>
      <c r="Y18" s="371" t="s">
        <v>8</v>
      </c>
      <c r="Z18" s="371" t="s">
        <v>34</v>
      </c>
      <c r="AA18" s="117">
        <f>INDEX($B$208:$P$216,MATCH($Y18,$A$208:$A$216,0),MATCH($Z18,$B$207:$P$207,0))</f>
        <v>2.6</v>
      </c>
      <c r="AB18" s="118">
        <v>0.3</v>
      </c>
      <c r="AC18" s="118">
        <v>0.1</v>
      </c>
      <c r="AI18" s="73" t="s">
        <v>152</v>
      </c>
      <c r="AJ18" s="117">
        <v>0.1</v>
      </c>
      <c r="AK18" s="117">
        <v>0.01</v>
      </c>
      <c r="AL18" s="117"/>
    </row>
    <row r="19" spans="1:39" ht="22.5" customHeight="1" x14ac:dyDescent="0.2">
      <c r="A19" s="78" t="s">
        <v>107</v>
      </c>
      <c r="B19" s="110"/>
      <c r="C19" s="110"/>
      <c r="D19" s="110"/>
      <c r="E19" s="110"/>
      <c r="F19" s="110"/>
      <c r="G19" s="110"/>
      <c r="H19" s="110"/>
      <c r="I19" s="110"/>
      <c r="J19" s="110"/>
      <c r="K19" s="110"/>
      <c r="L19" s="3"/>
      <c r="M19" s="2"/>
      <c r="N19" s="2"/>
      <c r="O19" s="119"/>
      <c r="P19" s="110"/>
      <c r="Q19" s="110"/>
      <c r="R19" s="5"/>
      <c r="T19" s="122"/>
      <c r="V19" s="121"/>
      <c r="AA19" s="117"/>
      <c r="AJ19" s="117"/>
      <c r="AK19" s="117"/>
      <c r="AL19" s="117"/>
    </row>
    <row r="20" spans="1:39" ht="22.5" customHeight="1" x14ac:dyDescent="0.2">
      <c r="A20" s="4" t="s">
        <v>108</v>
      </c>
      <c r="B20" s="70"/>
      <c r="C20" s="110"/>
      <c r="D20" s="110"/>
      <c r="E20" s="110"/>
      <c r="F20" s="71"/>
      <c r="G20" s="71"/>
      <c r="H20" s="71"/>
      <c r="I20" s="71"/>
      <c r="J20" s="71"/>
      <c r="K20" s="79" t="e">
        <f>SUMIF('Kennwerte Siedlungsdaten'!$C$7:$K$7, 'Grundlagen Verkehr'!$I$14, 'Kennwerte Siedlungsdaten'!C25:K25)/'Grundlagen Verkehr'!B20</f>
        <v>#DIV/0!</v>
      </c>
      <c r="L20" s="3"/>
      <c r="M20" s="2"/>
      <c r="N20" s="2"/>
      <c r="O20" s="119">
        <f>SUM(T20:V20)</f>
        <v>0</v>
      </c>
      <c r="P20" s="110">
        <f>AA20*O20</f>
        <v>0</v>
      </c>
      <c r="Q20" s="110">
        <f>P20*AB20</f>
        <v>0</v>
      </c>
      <c r="R20" s="5">
        <f>P20*AC20</f>
        <v>0</v>
      </c>
      <c r="T20" s="120">
        <f>AJ20*B20/100</f>
        <v>0</v>
      </c>
      <c r="U20" s="117">
        <f>AK20*B20/100</f>
        <v>0</v>
      </c>
      <c r="V20" s="121"/>
      <c r="X20" s="73" t="str">
        <f>A20</f>
        <v>Kundenintensive Dienstleistungsbetriebe</v>
      </c>
      <c r="Y20" s="371" t="s">
        <v>37</v>
      </c>
      <c r="Z20" s="371" t="s">
        <v>34</v>
      </c>
      <c r="AA20" s="117">
        <f>INDEX($B$208:$P$216,MATCH($Y20,$A$208:$A$216,0),MATCH($Z20,$B$207:$P$207,0))</f>
        <v>3.3</v>
      </c>
      <c r="AB20" s="118">
        <v>0.3</v>
      </c>
      <c r="AC20" s="118">
        <v>0.1</v>
      </c>
      <c r="AI20" s="73" t="s">
        <v>152</v>
      </c>
      <c r="AJ20" s="117">
        <v>2</v>
      </c>
      <c r="AK20" s="117">
        <v>1</v>
      </c>
      <c r="AL20" s="117"/>
    </row>
    <row r="21" spans="1:39" ht="22.5" customHeight="1" x14ac:dyDescent="0.2">
      <c r="A21" s="4" t="s">
        <v>109</v>
      </c>
      <c r="B21" s="70"/>
      <c r="C21" s="110"/>
      <c r="D21" s="110"/>
      <c r="E21" s="110"/>
      <c r="F21" s="71"/>
      <c r="G21" s="71"/>
      <c r="H21" s="71"/>
      <c r="I21" s="71"/>
      <c r="J21" s="71"/>
      <c r="K21" s="79" t="e">
        <f>SUMIF('Kennwerte Siedlungsdaten'!$C$7:$K$7, 'Grundlagen Verkehr'!$I$14, 'Kennwerte Siedlungsdaten'!C26:K26)/'Grundlagen Verkehr'!B21</f>
        <v>#DIV/0!</v>
      </c>
      <c r="L21" s="3"/>
      <c r="M21" s="2"/>
      <c r="N21" s="2"/>
      <c r="O21" s="119">
        <f>SUM(T21:V21)</f>
        <v>0</v>
      </c>
      <c r="P21" s="110">
        <f>AA21*O21</f>
        <v>0</v>
      </c>
      <c r="Q21" s="110">
        <f>P21*AB21</f>
        <v>0</v>
      </c>
      <c r="R21" s="5">
        <f>P21*AC21</f>
        <v>0</v>
      </c>
      <c r="T21" s="120">
        <f>AJ21*B21/100</f>
        <v>0</v>
      </c>
      <c r="U21" s="117">
        <f>AK21*B21/100</f>
        <v>0</v>
      </c>
      <c r="V21" s="121"/>
      <c r="X21" s="73" t="str">
        <f>A21</f>
        <v>Übrige Dienstleistungsbetriebe</v>
      </c>
      <c r="Y21" s="371" t="s">
        <v>37</v>
      </c>
      <c r="Z21" s="371" t="s">
        <v>34</v>
      </c>
      <c r="AA21" s="117">
        <f>INDEX($B$208:$P$216,MATCH($Y21,$A$208:$A$216,0),MATCH($Z21,$B$207:$P$207,0))</f>
        <v>3.3</v>
      </c>
      <c r="AB21" s="118">
        <v>0.3</v>
      </c>
      <c r="AC21" s="118">
        <v>0.1</v>
      </c>
      <c r="AI21" s="73" t="s">
        <v>152</v>
      </c>
      <c r="AJ21" s="117">
        <v>2</v>
      </c>
      <c r="AK21" s="117">
        <v>0.5</v>
      </c>
      <c r="AL21" s="117"/>
    </row>
    <row r="22" spans="1:39" ht="22.5" customHeight="1" x14ac:dyDescent="0.2">
      <c r="A22" s="78" t="s">
        <v>22</v>
      </c>
      <c r="B22" s="110"/>
      <c r="C22" s="110"/>
      <c r="D22" s="110"/>
      <c r="E22" s="110"/>
      <c r="F22" s="110"/>
      <c r="G22" s="110"/>
      <c r="H22" s="110"/>
      <c r="I22" s="110"/>
      <c r="J22" s="110"/>
      <c r="K22" s="110"/>
      <c r="L22" s="3"/>
      <c r="M22" s="2"/>
      <c r="N22" s="2"/>
      <c r="O22" s="119">
        <f>SUM(T22:V22)</f>
        <v>0</v>
      </c>
      <c r="P22" s="110"/>
      <c r="Q22" s="110"/>
      <c r="R22" s="5"/>
      <c r="T22" s="123"/>
      <c r="U22" s="124"/>
      <c r="V22" s="125"/>
      <c r="AA22" s="117"/>
      <c r="AJ22" s="117"/>
      <c r="AK22" s="117"/>
      <c r="AL22" s="117"/>
    </row>
    <row r="23" spans="1:39" ht="22.5" customHeight="1" x14ac:dyDescent="0.2">
      <c r="A23" s="4" t="s">
        <v>281</v>
      </c>
      <c r="B23" s="70"/>
      <c r="C23" s="110"/>
      <c r="D23" s="110"/>
      <c r="E23" s="110"/>
      <c r="F23" s="71"/>
      <c r="G23" s="71"/>
      <c r="H23" s="71"/>
      <c r="I23" s="71"/>
      <c r="J23" s="71"/>
      <c r="K23" s="79" t="e">
        <f>SUMIF('Kennwerte Siedlungsdaten'!$C$7:$K$7, 'Grundlagen Verkehr'!$I$14, 'Kennwerte Siedlungsdaten'!C28:K28)/'Grundlagen Verkehr'!B23</f>
        <v>#DIV/0!</v>
      </c>
      <c r="L23" s="3"/>
      <c r="M23" s="2"/>
      <c r="N23" s="2"/>
      <c r="O23" s="119">
        <f>SUM(T23:V23)</f>
        <v>0</v>
      </c>
      <c r="P23" s="110">
        <f>AA23*O23</f>
        <v>0</v>
      </c>
      <c r="Q23" s="110">
        <f>P23*AB23</f>
        <v>0</v>
      </c>
      <c r="R23" s="5">
        <f>P23*AC23</f>
        <v>0</v>
      </c>
      <c r="T23" s="123">
        <f>AJ23*B23/100</f>
        <v>0</v>
      </c>
      <c r="U23" s="124">
        <f>B23*AK23/100</f>
        <v>0</v>
      </c>
      <c r="V23" s="125"/>
      <c r="X23" s="73" t="str">
        <f>A23</f>
        <v>Kundenintensive Verkaufsgeschäfte</v>
      </c>
      <c r="Y23" s="371" t="s">
        <v>38</v>
      </c>
      <c r="Z23" s="371" t="s">
        <v>34</v>
      </c>
      <c r="AA23" s="117">
        <f>INDEX($B$208:$P$216,MATCH($Y23,$A$208:$A$216,0),MATCH($Z23,$B$207:$P$207,0))</f>
        <v>14.3</v>
      </c>
      <c r="AB23" s="118">
        <v>0.3</v>
      </c>
      <c r="AC23" s="118">
        <v>0.1</v>
      </c>
      <c r="AI23" s="73" t="s">
        <v>153</v>
      </c>
      <c r="AJ23" s="117">
        <v>2</v>
      </c>
      <c r="AK23" s="117">
        <v>8</v>
      </c>
      <c r="AL23" s="117"/>
    </row>
    <row r="24" spans="1:39" ht="22.5" customHeight="1" x14ac:dyDescent="0.2">
      <c r="A24" s="4" t="s">
        <v>110</v>
      </c>
      <c r="B24" s="70"/>
      <c r="C24" s="110"/>
      <c r="D24" s="110"/>
      <c r="E24" s="110"/>
      <c r="F24" s="71"/>
      <c r="G24" s="71"/>
      <c r="H24" s="71"/>
      <c r="I24" s="71"/>
      <c r="J24" s="71"/>
      <c r="K24" s="79" t="e">
        <f>SUMIF('Kennwerte Siedlungsdaten'!$C$7:$K$7, 'Grundlagen Verkehr'!$I$14, 'Kennwerte Siedlungsdaten'!C29:K29)/'Grundlagen Verkehr'!B24</f>
        <v>#DIV/0!</v>
      </c>
      <c r="L24" s="3"/>
      <c r="M24" s="2"/>
      <c r="N24" s="2"/>
      <c r="O24" s="119">
        <f>SUM(T24:V24)</f>
        <v>0</v>
      </c>
      <c r="P24" s="110">
        <f>AA24*O24</f>
        <v>0</v>
      </c>
      <c r="Q24" s="110">
        <f>P24*AB24</f>
        <v>0</v>
      </c>
      <c r="R24" s="5">
        <f>P24*AC24</f>
        <v>0</v>
      </c>
      <c r="T24" s="123">
        <f>AJ24*B24/100</f>
        <v>0</v>
      </c>
      <c r="U24" s="124">
        <f>B24*AK24/100</f>
        <v>0</v>
      </c>
      <c r="V24" s="125"/>
      <c r="X24" s="73" t="str">
        <f>A24</f>
        <v>Übrige Verkaufsgeschäfte</v>
      </c>
      <c r="Y24" s="371" t="s">
        <v>39</v>
      </c>
      <c r="Z24" s="371" t="s">
        <v>34</v>
      </c>
      <c r="AA24" s="117">
        <f>INDEX($B$208:$P$216,MATCH($Y24,$A$208:$A$216,0),MATCH($Z24,$B$207:$P$207,0))</f>
        <v>7.0833333333333339</v>
      </c>
      <c r="AB24" s="118">
        <v>0.3</v>
      </c>
      <c r="AC24" s="118">
        <v>0.1</v>
      </c>
      <c r="AI24" s="73" t="s">
        <v>153</v>
      </c>
      <c r="AJ24" s="117">
        <v>1.5</v>
      </c>
      <c r="AK24" s="117">
        <v>3.5</v>
      </c>
      <c r="AL24" s="117"/>
    </row>
    <row r="25" spans="1:39" ht="22.5" customHeight="1" x14ac:dyDescent="0.2">
      <c r="A25" s="4"/>
      <c r="B25" s="4"/>
      <c r="C25" s="4"/>
      <c r="D25" s="4"/>
      <c r="E25" s="4"/>
      <c r="F25" s="4"/>
      <c r="G25" s="4"/>
      <c r="H25" s="4"/>
      <c r="I25" s="4"/>
      <c r="J25" s="4"/>
      <c r="K25" s="4"/>
      <c r="L25" s="3"/>
      <c r="M25" s="4"/>
      <c r="N25" s="4"/>
      <c r="O25" s="126"/>
      <c r="P25" s="4"/>
      <c r="Q25" s="4"/>
      <c r="R25" s="127"/>
      <c r="S25" s="128"/>
      <c r="T25" s="129"/>
      <c r="U25" s="128"/>
      <c r="V25" s="130"/>
      <c r="W25" s="128"/>
      <c r="X25" s="128"/>
      <c r="Y25" s="128"/>
      <c r="Z25" s="128"/>
      <c r="AA25" s="128"/>
      <c r="AB25" s="128"/>
      <c r="AC25" s="128"/>
      <c r="AD25" s="128"/>
      <c r="AE25" s="128"/>
      <c r="AF25" s="128"/>
      <c r="AG25" s="128"/>
      <c r="AH25" s="128"/>
      <c r="AI25" s="128"/>
      <c r="AJ25" s="128"/>
      <c r="AK25" s="128"/>
      <c r="AL25" s="128"/>
      <c r="AM25" s="128"/>
    </row>
    <row r="26" spans="1:39" ht="16.5" customHeight="1" x14ac:dyDescent="0.2">
      <c r="A26" s="78" t="s">
        <v>23</v>
      </c>
      <c r="B26" s="2"/>
      <c r="C26" s="3" t="s">
        <v>242</v>
      </c>
      <c r="D26" s="2"/>
      <c r="E26" s="2"/>
      <c r="F26" s="2"/>
      <c r="G26" s="2"/>
      <c r="H26" s="2"/>
      <c r="I26" s="2"/>
      <c r="J26" s="2"/>
      <c r="K26" s="2"/>
      <c r="L26" s="3"/>
      <c r="M26" s="2"/>
      <c r="N26" s="2"/>
      <c r="O26" s="119">
        <f t="shared" ref="O26:O48" si="2">SUM(T26:V26)</f>
        <v>0</v>
      </c>
      <c r="P26" s="110"/>
      <c r="Q26" s="110"/>
      <c r="R26" s="5"/>
      <c r="T26" s="123"/>
      <c r="U26" s="124"/>
      <c r="V26" s="125"/>
      <c r="AA26" s="117"/>
      <c r="AJ26" s="117"/>
      <c r="AK26" s="117"/>
      <c r="AL26" s="117"/>
    </row>
    <row r="27" spans="1:39" ht="21.75" customHeight="1" x14ac:dyDescent="0.2">
      <c r="A27" s="4" t="s">
        <v>24</v>
      </c>
      <c r="B27" s="110"/>
      <c r="C27" s="70"/>
      <c r="D27" s="110"/>
      <c r="E27" s="70"/>
      <c r="F27" s="71"/>
      <c r="G27" s="71"/>
      <c r="H27" s="71"/>
      <c r="I27" s="71"/>
      <c r="J27" s="71"/>
      <c r="K27" s="79">
        <f>E27</f>
        <v>0</v>
      </c>
      <c r="L27" s="3"/>
      <c r="M27" s="2"/>
      <c r="N27" s="2"/>
      <c r="O27" s="119">
        <f t="shared" si="2"/>
        <v>0</v>
      </c>
      <c r="P27" s="110">
        <f>AA27*O27</f>
        <v>0</v>
      </c>
      <c r="Q27" s="110">
        <f>P27*AB27</f>
        <v>0</v>
      </c>
      <c r="R27" s="5">
        <f>P27*AC27</f>
        <v>0</v>
      </c>
      <c r="T27" s="123"/>
      <c r="U27" s="124"/>
      <c r="V27" s="125">
        <f>AL27*C27</f>
        <v>0</v>
      </c>
      <c r="X27" s="73" t="str">
        <f>A27</f>
        <v>Hotel</v>
      </c>
      <c r="Y27" s="371" t="s">
        <v>37</v>
      </c>
      <c r="Z27" s="371" t="s">
        <v>34</v>
      </c>
      <c r="AA27" s="117">
        <f>INDEX($B$208:$P$216,MATCH($Y27,$A$208:$A$216,0),MATCH($Z27,$B$207:$P$207,0))</f>
        <v>3.3</v>
      </c>
      <c r="AB27" s="118">
        <v>0.3</v>
      </c>
      <c r="AC27" s="118">
        <v>0.1</v>
      </c>
      <c r="AI27" s="73" t="s">
        <v>155</v>
      </c>
      <c r="AJ27" s="117"/>
      <c r="AK27" s="117"/>
      <c r="AL27" s="117">
        <v>0.5</v>
      </c>
    </row>
    <row r="28" spans="1:39" ht="21.75" customHeight="1" x14ac:dyDescent="0.2">
      <c r="A28" s="4" t="s">
        <v>111</v>
      </c>
      <c r="B28" s="110"/>
      <c r="C28" s="70"/>
      <c r="D28" s="110"/>
      <c r="E28" s="70"/>
      <c r="F28" s="71"/>
      <c r="G28" s="71"/>
      <c r="H28" s="71"/>
      <c r="I28" s="71"/>
      <c r="J28" s="71"/>
      <c r="K28" s="79">
        <f t="shared" ref="K28:K48" si="3">E28</f>
        <v>0</v>
      </c>
      <c r="L28" s="3"/>
      <c r="M28" s="2"/>
      <c r="N28" s="2"/>
      <c r="O28" s="119">
        <f t="shared" si="2"/>
        <v>0</v>
      </c>
      <c r="P28" s="110">
        <f>AA28*O28</f>
        <v>0</v>
      </c>
      <c r="Q28" s="110">
        <f>P28*AB28</f>
        <v>0</v>
      </c>
      <c r="R28" s="5">
        <f>P28*AC28</f>
        <v>0</v>
      </c>
      <c r="T28" s="123"/>
      <c r="U28" s="124"/>
      <c r="V28" s="125">
        <f>AL28*C28</f>
        <v>0</v>
      </c>
      <c r="X28" s="73" t="str">
        <f>A28</f>
        <v>Jugendherberge</v>
      </c>
      <c r="Y28" s="371" t="s">
        <v>37</v>
      </c>
      <c r="Z28" s="371" t="s">
        <v>34</v>
      </c>
      <c r="AA28" s="117">
        <f>INDEX($B$208:$P$216,MATCH($Y28,$A$208:$A$216,0),MATCH($Z28,$B$207:$P$207,0))</f>
        <v>3.3</v>
      </c>
      <c r="AB28" s="118">
        <v>0.3</v>
      </c>
      <c r="AC28" s="118">
        <v>0.1</v>
      </c>
      <c r="AI28" s="73" t="s">
        <v>155</v>
      </c>
      <c r="AJ28" s="117"/>
      <c r="AK28" s="117"/>
      <c r="AL28" s="117">
        <v>0.1</v>
      </c>
    </row>
    <row r="29" spans="1:39" ht="21.75" customHeight="1" x14ac:dyDescent="0.2">
      <c r="A29" s="4" t="s">
        <v>112</v>
      </c>
      <c r="B29" s="110"/>
      <c r="C29" s="70"/>
      <c r="D29" s="110"/>
      <c r="E29" s="70"/>
      <c r="F29" s="71"/>
      <c r="G29" s="71"/>
      <c r="H29" s="71"/>
      <c r="I29" s="71"/>
      <c r="J29" s="71"/>
      <c r="K29" s="79">
        <f t="shared" si="3"/>
        <v>0</v>
      </c>
      <c r="L29" s="3"/>
      <c r="M29" s="2"/>
      <c r="N29" s="2"/>
      <c r="O29" s="119">
        <f t="shared" si="2"/>
        <v>0</v>
      </c>
      <c r="P29" s="110">
        <f>AA29*O29</f>
        <v>0</v>
      </c>
      <c r="Q29" s="110">
        <f>P29*AB29</f>
        <v>0</v>
      </c>
      <c r="R29" s="5">
        <f>P29*AC29</f>
        <v>0</v>
      </c>
      <c r="T29" s="123"/>
      <c r="U29" s="124"/>
      <c r="V29" s="125">
        <f>AL29*C29</f>
        <v>0</v>
      </c>
      <c r="X29" s="73" t="str">
        <f>A29</f>
        <v>Restaurant, Café, Bar</v>
      </c>
      <c r="Y29" s="371" t="s">
        <v>37</v>
      </c>
      <c r="Z29" s="371" t="s">
        <v>34</v>
      </c>
      <c r="AA29" s="117">
        <f>INDEX($B$208:$P$216,MATCH($Y29,$A$208:$A$216,0),MATCH($Z29,$B$207:$P$207,0))</f>
        <v>3.3</v>
      </c>
      <c r="AB29" s="118">
        <v>0.3</v>
      </c>
      <c r="AC29" s="118">
        <v>0.1</v>
      </c>
      <c r="AI29" s="73" t="s">
        <v>154</v>
      </c>
      <c r="AJ29" s="117"/>
      <c r="AK29" s="117"/>
      <c r="AL29" s="117">
        <v>0.2</v>
      </c>
    </row>
    <row r="30" spans="1:39" ht="21.75" customHeight="1" x14ac:dyDescent="0.2">
      <c r="A30" s="78" t="s">
        <v>113</v>
      </c>
      <c r="B30" s="110"/>
      <c r="C30" s="70"/>
      <c r="D30" s="110"/>
      <c r="E30" s="70"/>
      <c r="F30" s="71"/>
      <c r="G30" s="71"/>
      <c r="H30" s="71"/>
      <c r="I30" s="71"/>
      <c r="J30" s="71"/>
      <c r="K30" s="79">
        <f t="shared" si="3"/>
        <v>0</v>
      </c>
      <c r="L30" s="3"/>
      <c r="M30" s="2"/>
      <c r="N30" s="2"/>
      <c r="O30" s="119">
        <f t="shared" si="2"/>
        <v>0</v>
      </c>
      <c r="P30" s="110">
        <f>AA30*O30</f>
        <v>0</v>
      </c>
      <c r="Q30" s="110">
        <f>P30*AB30</f>
        <v>0</v>
      </c>
      <c r="R30" s="5">
        <f>P30*AC30</f>
        <v>0</v>
      </c>
      <c r="T30" s="123">
        <f>AJ30*C30</f>
        <v>0</v>
      </c>
      <c r="U30" s="124">
        <f>AK30*C30</f>
        <v>0</v>
      </c>
      <c r="V30" s="125"/>
      <c r="X30" s="73" t="str">
        <f>A30</f>
        <v>Kleinspital, Klinik</v>
      </c>
      <c r="Y30" s="371" t="s">
        <v>191</v>
      </c>
      <c r="Z30" s="371" t="s">
        <v>34</v>
      </c>
      <c r="AA30" s="117">
        <f>INDEX($B$208:$P$216,MATCH($Y30,$A$208:$A$216,0),MATCH($Z30,$B$207:$P$207,0))</f>
        <v>5.3</v>
      </c>
      <c r="AB30" s="118">
        <v>0.3</v>
      </c>
      <c r="AC30" s="118">
        <v>0.1</v>
      </c>
      <c r="AI30" s="73" t="s">
        <v>155</v>
      </c>
      <c r="AJ30" s="117">
        <v>1</v>
      </c>
      <c r="AK30" s="117">
        <v>0.5</v>
      </c>
      <c r="AL30" s="117"/>
    </row>
    <row r="31" spans="1:39" ht="21.75" customHeight="1" x14ac:dyDescent="0.2">
      <c r="A31" s="78" t="s">
        <v>114</v>
      </c>
      <c r="B31" s="110"/>
      <c r="C31" s="70"/>
      <c r="D31" s="110"/>
      <c r="E31" s="70"/>
      <c r="F31" s="71"/>
      <c r="G31" s="71"/>
      <c r="H31" s="71"/>
      <c r="I31" s="71"/>
      <c r="J31" s="71"/>
      <c r="K31" s="79">
        <f t="shared" si="3"/>
        <v>0</v>
      </c>
      <c r="L31" s="3"/>
      <c r="M31" s="2"/>
      <c r="N31" s="2"/>
      <c r="O31" s="119">
        <f t="shared" si="2"/>
        <v>0</v>
      </c>
      <c r="P31" s="110">
        <f>AA31*O31</f>
        <v>0</v>
      </c>
      <c r="Q31" s="110">
        <f>P31*AB31</f>
        <v>0</v>
      </c>
      <c r="R31" s="5">
        <f>P31*AC31</f>
        <v>0</v>
      </c>
      <c r="T31" s="123">
        <f>AJ31*C31</f>
        <v>0</v>
      </c>
      <c r="U31" s="124">
        <f>AK31*C31</f>
        <v>0</v>
      </c>
      <c r="V31" s="125"/>
      <c r="X31" s="73" t="str">
        <f>A31</f>
        <v>Alters- und Pflegeheim, Sanatorium</v>
      </c>
      <c r="Y31" s="371" t="s">
        <v>191</v>
      </c>
      <c r="Z31" s="371" t="s">
        <v>34</v>
      </c>
      <c r="AA31" s="117">
        <f>INDEX($B$208:$P$216,MATCH($Y31,$A$208:$A$216,0),MATCH($Z31,$B$207:$P$207,0))</f>
        <v>5.3</v>
      </c>
      <c r="AB31" s="118">
        <v>0.3</v>
      </c>
      <c r="AC31" s="118">
        <v>0.1</v>
      </c>
      <c r="AI31" s="73" t="s">
        <v>155</v>
      </c>
      <c r="AJ31" s="117">
        <v>0.5</v>
      </c>
      <c r="AK31" s="117">
        <v>0.3</v>
      </c>
      <c r="AL31" s="117"/>
    </row>
    <row r="32" spans="1:39" ht="21.75" customHeight="1" x14ac:dyDescent="0.2">
      <c r="A32" s="78" t="s">
        <v>122</v>
      </c>
      <c r="B32" s="2"/>
      <c r="C32" s="3" t="s">
        <v>184</v>
      </c>
      <c r="D32" s="2"/>
      <c r="E32" s="2"/>
      <c r="F32" s="2"/>
      <c r="G32" s="2"/>
      <c r="H32" s="2"/>
      <c r="I32" s="2"/>
      <c r="J32" s="2"/>
      <c r="K32" s="2"/>
      <c r="L32" s="3"/>
      <c r="M32" s="2"/>
      <c r="N32" s="2"/>
      <c r="O32" s="119">
        <f t="shared" si="2"/>
        <v>0</v>
      </c>
      <c r="P32" s="110"/>
      <c r="Q32" s="110"/>
      <c r="R32" s="5"/>
      <c r="T32" s="123"/>
      <c r="U32" s="124"/>
      <c r="V32" s="125"/>
      <c r="AJ32" s="117"/>
      <c r="AK32" s="117"/>
      <c r="AL32" s="117"/>
    </row>
    <row r="33" spans="1:38" ht="21.75" customHeight="1" x14ac:dyDescent="0.2">
      <c r="A33" s="4" t="s">
        <v>115</v>
      </c>
      <c r="B33" s="110"/>
      <c r="C33" s="70"/>
      <c r="D33" s="110"/>
      <c r="E33" s="70"/>
      <c r="F33" s="71"/>
      <c r="G33" s="71"/>
      <c r="H33" s="71"/>
      <c r="I33" s="71"/>
      <c r="J33" s="71"/>
      <c r="K33" s="79">
        <f t="shared" si="3"/>
        <v>0</v>
      </c>
      <c r="L33" s="3"/>
      <c r="M33" s="2"/>
      <c r="N33" s="2"/>
      <c r="O33" s="119">
        <f t="shared" si="2"/>
        <v>0</v>
      </c>
      <c r="P33" s="110">
        <f t="shared" ref="P33:P48" si="4">AA33*O33</f>
        <v>0</v>
      </c>
      <c r="Q33" s="110">
        <f t="shared" ref="Q33:Q48" si="5">P33*AB33</f>
        <v>0</v>
      </c>
      <c r="R33" s="5">
        <f t="shared" ref="R33:R48" si="6">P33*AC33</f>
        <v>0</v>
      </c>
      <c r="T33" s="123"/>
      <c r="U33" s="124"/>
      <c r="V33" s="125">
        <f>C33*AL33</f>
        <v>0</v>
      </c>
      <c r="X33" s="73" t="str">
        <f t="shared" ref="X33:X48" si="7">A33</f>
        <v>Kino</v>
      </c>
      <c r="Y33" s="371" t="s">
        <v>196</v>
      </c>
      <c r="Z33" s="371" t="s">
        <v>34</v>
      </c>
      <c r="AA33" s="117">
        <f t="shared" ref="AA33:AA48" si="8">INDEX($B$208:$P$216,MATCH($Y33,$A$208:$A$216,0),MATCH($Z33,$B$207:$P$207,0))</f>
        <v>0.46276595744680854</v>
      </c>
      <c r="AB33" s="118">
        <v>0.3</v>
      </c>
      <c r="AC33" s="118">
        <v>0.1</v>
      </c>
      <c r="AI33" s="73" t="s">
        <v>154</v>
      </c>
      <c r="AJ33" s="117"/>
      <c r="AK33" s="117"/>
      <c r="AL33" s="117">
        <v>0.2</v>
      </c>
    </row>
    <row r="34" spans="1:38" ht="21.75" customHeight="1" x14ac:dyDescent="0.2">
      <c r="A34" s="4" t="s">
        <v>116</v>
      </c>
      <c r="B34" s="110"/>
      <c r="C34" s="70"/>
      <c r="D34" s="110"/>
      <c r="E34" s="70"/>
      <c r="F34" s="71"/>
      <c r="G34" s="71"/>
      <c r="H34" s="71"/>
      <c r="I34" s="71"/>
      <c r="J34" s="71"/>
      <c r="K34" s="79">
        <f t="shared" si="3"/>
        <v>0</v>
      </c>
      <c r="L34" s="3"/>
      <c r="M34" s="2"/>
      <c r="N34" s="2"/>
      <c r="O34" s="119">
        <f t="shared" si="2"/>
        <v>0</v>
      </c>
      <c r="P34" s="110">
        <f t="shared" si="4"/>
        <v>0</v>
      </c>
      <c r="Q34" s="110">
        <f t="shared" si="5"/>
        <v>0</v>
      </c>
      <c r="R34" s="5">
        <f t="shared" si="6"/>
        <v>0</v>
      </c>
      <c r="T34" s="123"/>
      <c r="U34" s="124"/>
      <c r="V34" s="125">
        <f>C34*AL34</f>
        <v>0</v>
      </c>
      <c r="X34" s="73" t="str">
        <f t="shared" si="7"/>
        <v>Theater, Oper, Konzertsaal</v>
      </c>
      <c r="Y34" s="371" t="s">
        <v>196</v>
      </c>
      <c r="Z34" s="371" t="s">
        <v>34</v>
      </c>
      <c r="AA34" s="117">
        <f t="shared" si="8"/>
        <v>0.46276595744680854</v>
      </c>
      <c r="AB34" s="118">
        <v>0.3</v>
      </c>
      <c r="AC34" s="118">
        <v>0.1</v>
      </c>
      <c r="AI34" s="73" t="s">
        <v>154</v>
      </c>
      <c r="AJ34" s="117"/>
      <c r="AK34" s="117"/>
      <c r="AL34" s="117">
        <v>0.2</v>
      </c>
    </row>
    <row r="35" spans="1:38" ht="21.75" customHeight="1" x14ac:dyDescent="0.2">
      <c r="A35" s="4" t="s">
        <v>193</v>
      </c>
      <c r="B35" s="186"/>
      <c r="C35" s="110"/>
      <c r="D35" s="110"/>
      <c r="E35" s="70"/>
      <c r="F35" s="71"/>
      <c r="G35" s="71"/>
      <c r="H35" s="71"/>
      <c r="I35" s="71"/>
      <c r="J35" s="71"/>
      <c r="K35" s="79">
        <f t="shared" si="3"/>
        <v>0</v>
      </c>
      <c r="L35" s="3"/>
      <c r="M35" s="2"/>
      <c r="N35" s="2"/>
      <c r="O35" s="119">
        <f t="shared" si="2"/>
        <v>0</v>
      </c>
      <c r="P35" s="110">
        <f t="shared" si="4"/>
        <v>0</v>
      </c>
      <c r="Q35" s="110">
        <f t="shared" si="5"/>
        <v>0</v>
      </c>
      <c r="R35" s="5">
        <f t="shared" si="6"/>
        <v>0</v>
      </c>
      <c r="T35" s="123"/>
      <c r="U35" s="124"/>
      <c r="V35" s="125">
        <f>B35*AL35/100</f>
        <v>0</v>
      </c>
      <c r="X35" s="73" t="str">
        <f t="shared" si="7"/>
        <v>Museum,. Ausstellungsraum, Galerie</v>
      </c>
      <c r="Y35" s="371" t="s">
        <v>196</v>
      </c>
      <c r="Z35" s="371" t="s">
        <v>34</v>
      </c>
      <c r="AA35" s="117">
        <f t="shared" si="8"/>
        <v>0.46276595744680854</v>
      </c>
      <c r="AB35" s="118">
        <v>0.3</v>
      </c>
      <c r="AC35" s="118">
        <v>0.1</v>
      </c>
      <c r="AI35" s="73" t="s">
        <v>156</v>
      </c>
      <c r="AJ35" s="117"/>
      <c r="AK35" s="117"/>
      <c r="AL35" s="117">
        <v>1</v>
      </c>
    </row>
    <row r="36" spans="1:38" ht="21.75" customHeight="1" x14ac:dyDescent="0.2">
      <c r="A36" s="4" t="s">
        <v>117</v>
      </c>
      <c r="B36" s="70"/>
      <c r="C36" s="110"/>
      <c r="D36" s="110"/>
      <c r="E36" s="70"/>
      <c r="F36" s="71"/>
      <c r="G36" s="71"/>
      <c r="H36" s="71"/>
      <c r="I36" s="71"/>
      <c r="J36" s="71"/>
      <c r="K36" s="79">
        <f t="shared" si="3"/>
        <v>0</v>
      </c>
      <c r="L36" s="3"/>
      <c r="M36" s="2"/>
      <c r="N36" s="2"/>
      <c r="O36" s="119">
        <f t="shared" si="2"/>
        <v>0</v>
      </c>
      <c r="P36" s="110">
        <f t="shared" si="4"/>
        <v>0</v>
      </c>
      <c r="Q36" s="110">
        <f t="shared" si="5"/>
        <v>0</v>
      </c>
      <c r="R36" s="5">
        <f t="shared" si="6"/>
        <v>0</v>
      </c>
      <c r="T36" s="123"/>
      <c r="U36" s="124"/>
      <c r="V36" s="125">
        <f>B36*AL36/100</f>
        <v>0</v>
      </c>
      <c r="X36" s="73" t="str">
        <f t="shared" si="7"/>
        <v>Bibliothek</v>
      </c>
      <c r="Y36" s="371" t="s">
        <v>190</v>
      </c>
      <c r="Z36" s="371" t="s">
        <v>34</v>
      </c>
      <c r="AA36" s="117">
        <f t="shared" si="8"/>
        <v>3.7</v>
      </c>
      <c r="AB36" s="118">
        <v>0.3</v>
      </c>
      <c r="AC36" s="118">
        <v>0.1</v>
      </c>
      <c r="AI36" s="73" t="s">
        <v>156</v>
      </c>
      <c r="AJ36" s="117"/>
      <c r="AK36" s="117"/>
      <c r="AL36" s="117">
        <v>1</v>
      </c>
    </row>
    <row r="37" spans="1:38" ht="21.75" customHeight="1" x14ac:dyDescent="0.2">
      <c r="A37" s="4" t="s">
        <v>118</v>
      </c>
      <c r="B37" s="70"/>
      <c r="C37" s="70"/>
      <c r="D37" s="110"/>
      <c r="E37" s="70"/>
      <c r="F37" s="71"/>
      <c r="G37" s="71"/>
      <c r="H37" s="71"/>
      <c r="I37" s="71"/>
      <c r="J37" s="71"/>
      <c r="K37" s="79">
        <f t="shared" si="3"/>
        <v>0</v>
      </c>
      <c r="L37" s="3"/>
      <c r="M37" s="2"/>
      <c r="N37" s="2"/>
      <c r="O37" s="119">
        <f t="shared" si="2"/>
        <v>0</v>
      </c>
      <c r="P37" s="110">
        <f t="shared" si="4"/>
        <v>0</v>
      </c>
      <c r="Q37" s="110">
        <f t="shared" si="5"/>
        <v>0</v>
      </c>
      <c r="R37" s="5">
        <f t="shared" si="6"/>
        <v>0</v>
      </c>
      <c r="T37" s="123"/>
      <c r="U37" s="124"/>
      <c r="V37" s="125">
        <f>MAX(B37*AL37,C37*AL37)</f>
        <v>0</v>
      </c>
      <c r="X37" s="73" t="str">
        <f t="shared" si="7"/>
        <v>Diskothek</v>
      </c>
      <c r="Y37" s="371" t="s">
        <v>37</v>
      </c>
      <c r="Z37" s="371" t="s">
        <v>34</v>
      </c>
      <c r="AA37" s="117">
        <f t="shared" si="8"/>
        <v>3.3</v>
      </c>
      <c r="AB37" s="118">
        <v>0.3</v>
      </c>
      <c r="AC37" s="118">
        <v>0.1</v>
      </c>
      <c r="AI37" s="73" t="s">
        <v>157</v>
      </c>
      <c r="AJ37" s="117"/>
      <c r="AK37" s="117"/>
      <c r="AL37" s="117">
        <v>0.3</v>
      </c>
    </row>
    <row r="38" spans="1:38" ht="21.75" customHeight="1" x14ac:dyDescent="0.2">
      <c r="A38" s="4" t="s">
        <v>119</v>
      </c>
      <c r="B38" s="110"/>
      <c r="C38" s="70"/>
      <c r="D38" s="110"/>
      <c r="E38" s="70"/>
      <c r="F38" s="71"/>
      <c r="G38" s="71"/>
      <c r="H38" s="71"/>
      <c r="I38" s="71"/>
      <c r="J38" s="71"/>
      <c r="K38" s="79">
        <f t="shared" si="3"/>
        <v>0</v>
      </c>
      <c r="L38" s="3"/>
      <c r="M38" s="2"/>
      <c r="N38" s="2"/>
      <c r="O38" s="119">
        <f t="shared" si="2"/>
        <v>0</v>
      </c>
      <c r="P38" s="110">
        <f t="shared" si="4"/>
        <v>0</v>
      </c>
      <c r="Q38" s="110">
        <f t="shared" si="5"/>
        <v>0</v>
      </c>
      <c r="R38" s="5">
        <f t="shared" si="6"/>
        <v>0</v>
      </c>
      <c r="T38" s="123"/>
      <c r="U38" s="124"/>
      <c r="V38" s="125">
        <f>C38*AL38</f>
        <v>0</v>
      </c>
      <c r="X38" s="73" t="str">
        <f t="shared" si="7"/>
        <v>Kirche, Moschee, Synagoge</v>
      </c>
      <c r="Y38" s="371" t="s">
        <v>37</v>
      </c>
      <c r="Z38" s="371" t="s">
        <v>34</v>
      </c>
      <c r="AA38" s="117">
        <f t="shared" si="8"/>
        <v>3.3</v>
      </c>
      <c r="AB38" s="118">
        <v>0.3</v>
      </c>
      <c r="AC38" s="118">
        <v>0.1</v>
      </c>
      <c r="AI38" s="73" t="s">
        <v>158</v>
      </c>
      <c r="AJ38" s="117"/>
      <c r="AK38" s="117"/>
      <c r="AL38" s="117">
        <v>0.1</v>
      </c>
    </row>
    <row r="39" spans="1:38" ht="21.75" customHeight="1" x14ac:dyDescent="0.2">
      <c r="A39" s="4" t="s">
        <v>120</v>
      </c>
      <c r="B39" s="70"/>
      <c r="C39" s="110"/>
      <c r="D39" s="110"/>
      <c r="E39" s="70"/>
      <c r="F39" s="71"/>
      <c r="G39" s="71"/>
      <c r="H39" s="71"/>
      <c r="I39" s="71"/>
      <c r="J39" s="71"/>
      <c r="K39" s="79">
        <f t="shared" si="3"/>
        <v>0</v>
      </c>
      <c r="L39" s="3"/>
      <c r="M39" s="2"/>
      <c r="N39" s="2"/>
      <c r="O39" s="119">
        <f t="shared" si="2"/>
        <v>0</v>
      </c>
      <c r="P39" s="110">
        <f t="shared" si="4"/>
        <v>0</v>
      </c>
      <c r="Q39" s="110">
        <f t="shared" si="5"/>
        <v>0</v>
      </c>
      <c r="R39" s="5">
        <f t="shared" si="6"/>
        <v>0</v>
      </c>
      <c r="T39" s="123"/>
      <c r="U39" s="124"/>
      <c r="V39" s="125">
        <f>B39*AL39/100</f>
        <v>0</v>
      </c>
      <c r="X39" s="73" t="str">
        <f t="shared" si="7"/>
        <v>Friedhof</v>
      </c>
      <c r="Y39" s="371" t="s">
        <v>37</v>
      </c>
      <c r="Z39" s="371" t="s">
        <v>34</v>
      </c>
      <c r="AA39" s="117">
        <f t="shared" si="8"/>
        <v>3.3</v>
      </c>
      <c r="AB39" s="118">
        <v>0.3</v>
      </c>
      <c r="AC39" s="118">
        <v>0.1</v>
      </c>
      <c r="AI39" s="73" t="s">
        <v>156</v>
      </c>
      <c r="AJ39" s="117"/>
      <c r="AK39" s="117"/>
      <c r="AL39" s="117">
        <v>0.1</v>
      </c>
    </row>
    <row r="40" spans="1:38" ht="21.75" customHeight="1" x14ac:dyDescent="0.2">
      <c r="A40" s="78" t="s">
        <v>121</v>
      </c>
      <c r="B40" s="110"/>
      <c r="C40" s="131" t="s">
        <v>243</v>
      </c>
      <c r="D40" s="110"/>
      <c r="E40" s="110"/>
      <c r="F40" s="110"/>
      <c r="G40" s="110"/>
      <c r="H40" s="110"/>
      <c r="I40" s="110"/>
      <c r="J40" s="110"/>
      <c r="K40" s="110"/>
      <c r="L40" s="3"/>
      <c r="M40" s="2"/>
      <c r="N40" s="2"/>
      <c r="O40" s="119">
        <f t="shared" si="2"/>
        <v>0</v>
      </c>
      <c r="P40" s="110">
        <f t="shared" si="4"/>
        <v>0</v>
      </c>
      <c r="Q40" s="110">
        <f t="shared" si="5"/>
        <v>0</v>
      </c>
      <c r="R40" s="5">
        <f t="shared" si="6"/>
        <v>0</v>
      </c>
      <c r="T40" s="123"/>
      <c r="U40" s="124"/>
      <c r="V40" s="125"/>
      <c r="X40" s="73" t="str">
        <f t="shared" si="7"/>
        <v>Aus- und Weiterbildung</v>
      </c>
      <c r="Y40" s="371" t="s">
        <v>190</v>
      </c>
      <c r="Z40" s="371" t="s">
        <v>34</v>
      </c>
      <c r="AA40" s="117">
        <f t="shared" si="8"/>
        <v>3.7</v>
      </c>
      <c r="AB40" s="118">
        <v>0.3</v>
      </c>
      <c r="AC40" s="118">
        <v>0.1</v>
      </c>
      <c r="AJ40" s="117"/>
      <c r="AK40" s="117"/>
      <c r="AL40" s="117"/>
    </row>
    <row r="41" spans="1:38" ht="21.75" customHeight="1" x14ac:dyDescent="0.2">
      <c r="A41" s="4" t="s">
        <v>123</v>
      </c>
      <c r="B41" s="110"/>
      <c r="C41" s="110"/>
      <c r="D41" s="70"/>
      <c r="E41" s="70"/>
      <c r="F41" s="71"/>
      <c r="G41" s="71"/>
      <c r="H41" s="71"/>
      <c r="I41" s="71"/>
      <c r="J41" s="71"/>
      <c r="K41" s="79">
        <f t="shared" si="3"/>
        <v>0</v>
      </c>
      <c r="L41" s="3"/>
      <c r="M41" s="2"/>
      <c r="N41" s="2"/>
      <c r="O41" s="119">
        <f t="shared" si="2"/>
        <v>0</v>
      </c>
      <c r="P41" s="110">
        <f t="shared" si="4"/>
        <v>0</v>
      </c>
      <c r="Q41" s="110">
        <f t="shared" si="5"/>
        <v>0</v>
      </c>
      <c r="R41" s="5">
        <f t="shared" si="6"/>
        <v>0</v>
      </c>
      <c r="T41" s="123">
        <f>$D41*AJ41</f>
        <v>0</v>
      </c>
      <c r="U41" s="124">
        <f>$D41*AK41</f>
        <v>0</v>
      </c>
      <c r="V41" s="125"/>
      <c r="X41" s="73" t="str">
        <f t="shared" si="7"/>
        <v>Hort, Kindergarten</v>
      </c>
      <c r="Y41" s="371" t="s">
        <v>190</v>
      </c>
      <c r="Z41" s="371" t="s">
        <v>34</v>
      </c>
      <c r="AA41" s="117">
        <f t="shared" si="8"/>
        <v>3.7</v>
      </c>
      <c r="AB41" s="118">
        <v>0.3</v>
      </c>
      <c r="AC41" s="118">
        <v>0.1</v>
      </c>
      <c r="AI41" s="73" t="s">
        <v>159</v>
      </c>
      <c r="AJ41" s="117">
        <v>1</v>
      </c>
      <c r="AK41" s="117">
        <v>0.2</v>
      </c>
      <c r="AL41" s="117"/>
    </row>
    <row r="42" spans="1:38" ht="21.75" customHeight="1" x14ac:dyDescent="0.2">
      <c r="A42" s="4" t="s">
        <v>124</v>
      </c>
      <c r="B42" s="110"/>
      <c r="C42" s="110"/>
      <c r="D42" s="70"/>
      <c r="E42" s="70"/>
      <c r="F42" s="71"/>
      <c r="G42" s="71"/>
      <c r="H42" s="71"/>
      <c r="I42" s="71"/>
      <c r="J42" s="71"/>
      <c r="K42" s="79">
        <f t="shared" si="3"/>
        <v>0</v>
      </c>
      <c r="L42" s="3"/>
      <c r="M42" s="2"/>
      <c r="N42" s="2"/>
      <c r="O42" s="119">
        <f t="shared" si="2"/>
        <v>0</v>
      </c>
      <c r="P42" s="110">
        <f t="shared" si="4"/>
        <v>0</v>
      </c>
      <c r="Q42" s="110">
        <f t="shared" si="5"/>
        <v>0</v>
      </c>
      <c r="R42" s="5">
        <f t="shared" si="6"/>
        <v>0</v>
      </c>
      <c r="T42" s="123">
        <f>$D42*AJ42</f>
        <v>0</v>
      </c>
      <c r="U42" s="124">
        <f>$D42*AK42</f>
        <v>0</v>
      </c>
      <c r="V42" s="125"/>
      <c r="X42" s="73" t="str">
        <f t="shared" si="7"/>
        <v>Primar- und Senkundarsteufe I</v>
      </c>
      <c r="Y42" s="371" t="s">
        <v>190</v>
      </c>
      <c r="Z42" s="371" t="s">
        <v>34</v>
      </c>
      <c r="AA42" s="117">
        <f t="shared" si="8"/>
        <v>3.7</v>
      </c>
      <c r="AB42" s="118">
        <v>0.3</v>
      </c>
      <c r="AC42" s="118">
        <v>0.1</v>
      </c>
      <c r="AI42" s="73" t="s">
        <v>159</v>
      </c>
      <c r="AJ42" s="117">
        <v>1</v>
      </c>
      <c r="AK42" s="117">
        <v>0.2</v>
      </c>
      <c r="AL42" s="117"/>
    </row>
    <row r="43" spans="1:38" ht="21.75" customHeight="1" x14ac:dyDescent="0.2">
      <c r="A43" s="4" t="s">
        <v>125</v>
      </c>
      <c r="B43" s="110"/>
      <c r="C43" s="70"/>
      <c r="D43" s="70"/>
      <c r="E43" s="70"/>
      <c r="F43" s="71"/>
      <c r="G43" s="71"/>
      <c r="H43" s="71"/>
      <c r="I43" s="71"/>
      <c r="J43" s="71"/>
      <c r="K43" s="79">
        <f t="shared" si="3"/>
        <v>0</v>
      </c>
      <c r="L43" s="3"/>
      <c r="M43" s="2"/>
      <c r="N43" s="2"/>
      <c r="O43" s="119">
        <f t="shared" si="2"/>
        <v>0</v>
      </c>
      <c r="P43" s="110">
        <f t="shared" si="4"/>
        <v>0</v>
      </c>
      <c r="Q43" s="110">
        <f t="shared" si="5"/>
        <v>0</v>
      </c>
      <c r="R43" s="5">
        <f t="shared" si="6"/>
        <v>0</v>
      </c>
      <c r="T43" s="123"/>
      <c r="U43" s="124"/>
      <c r="V43" s="125">
        <f>C43*AK43+D43*AJ43</f>
        <v>0</v>
      </c>
      <c r="X43" s="73" t="str">
        <f t="shared" si="7"/>
        <v>Sekundarstufe II</v>
      </c>
      <c r="Y43" s="371" t="s">
        <v>190</v>
      </c>
      <c r="Z43" s="371" t="s">
        <v>34</v>
      </c>
      <c r="AA43" s="117">
        <f t="shared" si="8"/>
        <v>3.7</v>
      </c>
      <c r="AB43" s="118">
        <v>0.3</v>
      </c>
      <c r="AC43" s="118">
        <v>0.1</v>
      </c>
      <c r="AI43" s="73" t="s">
        <v>180</v>
      </c>
      <c r="AJ43" s="117">
        <v>1</v>
      </c>
      <c r="AK43" s="117">
        <v>0.1</v>
      </c>
      <c r="AL43" s="117"/>
    </row>
    <row r="44" spans="1:38" ht="21.75" customHeight="1" x14ac:dyDescent="0.2">
      <c r="A44" s="4" t="s">
        <v>126</v>
      </c>
      <c r="B44" s="110"/>
      <c r="C44" s="110"/>
      <c r="D44" s="70"/>
      <c r="E44" s="70"/>
      <c r="F44" s="71"/>
      <c r="G44" s="71"/>
      <c r="H44" s="71"/>
      <c r="I44" s="71"/>
      <c r="J44" s="71"/>
      <c r="K44" s="79">
        <f t="shared" si="3"/>
        <v>0</v>
      </c>
      <c r="L44" s="3"/>
      <c r="M44" s="2"/>
      <c r="N44" s="2"/>
      <c r="O44" s="119">
        <f t="shared" si="2"/>
        <v>0</v>
      </c>
      <c r="P44" s="110">
        <f t="shared" si="4"/>
        <v>0</v>
      </c>
      <c r="Q44" s="110">
        <f t="shared" si="5"/>
        <v>0</v>
      </c>
      <c r="R44" s="5">
        <f t="shared" si="6"/>
        <v>0</v>
      </c>
      <c r="T44" s="123">
        <f>$D44*AJ44</f>
        <v>0</v>
      </c>
      <c r="U44" s="124">
        <f>$D44*AK44</f>
        <v>0</v>
      </c>
      <c r="V44" s="125"/>
      <c r="X44" s="73" t="str">
        <f t="shared" si="7"/>
        <v>Musikschule</v>
      </c>
      <c r="Y44" s="371" t="s">
        <v>190</v>
      </c>
      <c r="Z44" s="371" t="s">
        <v>34</v>
      </c>
      <c r="AA44" s="117">
        <f t="shared" si="8"/>
        <v>3.7</v>
      </c>
      <c r="AB44" s="118">
        <v>0.3</v>
      </c>
      <c r="AC44" s="118">
        <v>0.1</v>
      </c>
      <c r="AI44" s="73" t="s">
        <v>160</v>
      </c>
      <c r="AJ44" s="117">
        <v>1</v>
      </c>
      <c r="AK44" s="117">
        <v>0.2</v>
      </c>
      <c r="AL44" s="117"/>
    </row>
    <row r="45" spans="1:38" ht="21.75" customHeight="1" x14ac:dyDescent="0.2">
      <c r="A45" s="4" t="s">
        <v>127</v>
      </c>
      <c r="B45" s="110"/>
      <c r="C45" s="70"/>
      <c r="D45" s="110"/>
      <c r="E45" s="70"/>
      <c r="F45" s="71"/>
      <c r="G45" s="71"/>
      <c r="H45" s="71"/>
      <c r="I45" s="71"/>
      <c r="J45" s="71"/>
      <c r="K45" s="79">
        <f t="shared" si="3"/>
        <v>0</v>
      </c>
      <c r="L45" s="3"/>
      <c r="M45" s="2"/>
      <c r="N45" s="2"/>
      <c r="O45" s="119">
        <f t="shared" si="2"/>
        <v>0</v>
      </c>
      <c r="P45" s="110">
        <f t="shared" si="4"/>
        <v>0</v>
      </c>
      <c r="Q45" s="110">
        <f t="shared" si="5"/>
        <v>0</v>
      </c>
      <c r="R45" s="5">
        <f t="shared" si="6"/>
        <v>0</v>
      </c>
      <c r="T45" s="123">
        <f>C45*AJ45</f>
        <v>0</v>
      </c>
      <c r="U45" s="124"/>
      <c r="V45" s="125"/>
      <c r="X45" s="73" t="str">
        <f t="shared" si="7"/>
        <v>Berufsschule</v>
      </c>
      <c r="Y45" s="371" t="s">
        <v>190</v>
      </c>
      <c r="Z45" s="371" t="s">
        <v>34</v>
      </c>
      <c r="AA45" s="117">
        <f t="shared" si="8"/>
        <v>3.7</v>
      </c>
      <c r="AB45" s="118">
        <v>0.3</v>
      </c>
      <c r="AC45" s="118">
        <v>0.1</v>
      </c>
      <c r="AI45" s="73" t="s">
        <v>161</v>
      </c>
      <c r="AJ45" s="117">
        <v>0.3</v>
      </c>
      <c r="AK45" s="117"/>
      <c r="AL45" s="117"/>
    </row>
    <row r="46" spans="1:38" ht="21.75" customHeight="1" x14ac:dyDescent="0.2">
      <c r="A46" s="4" t="s">
        <v>128</v>
      </c>
      <c r="B46" s="110"/>
      <c r="C46" s="70"/>
      <c r="D46" s="110"/>
      <c r="E46" s="70"/>
      <c r="F46" s="71"/>
      <c r="G46" s="71"/>
      <c r="H46" s="71"/>
      <c r="I46" s="71"/>
      <c r="J46" s="71"/>
      <c r="K46" s="79">
        <f t="shared" si="3"/>
        <v>0</v>
      </c>
      <c r="L46" s="3"/>
      <c r="M46" s="2"/>
      <c r="N46" s="2"/>
      <c r="O46" s="119">
        <f t="shared" si="2"/>
        <v>0</v>
      </c>
      <c r="P46" s="110">
        <f t="shared" si="4"/>
        <v>0</v>
      </c>
      <c r="Q46" s="110">
        <f t="shared" si="5"/>
        <v>0</v>
      </c>
      <c r="R46" s="5">
        <f t="shared" si="6"/>
        <v>0</v>
      </c>
      <c r="T46" s="123">
        <f>C46*AJ46</f>
        <v>0</v>
      </c>
      <c r="U46" s="124"/>
      <c r="V46" s="125"/>
      <c r="X46" s="73" t="str">
        <f t="shared" si="7"/>
        <v>Fachhochschule, Universität</v>
      </c>
      <c r="Y46" s="371" t="s">
        <v>190</v>
      </c>
      <c r="Z46" s="371" t="s">
        <v>34</v>
      </c>
      <c r="AA46" s="117">
        <f t="shared" si="8"/>
        <v>3.7</v>
      </c>
      <c r="AB46" s="118">
        <v>0.3</v>
      </c>
      <c r="AC46" s="118">
        <v>0.1</v>
      </c>
      <c r="AI46" s="73" t="s">
        <v>162</v>
      </c>
      <c r="AJ46" s="117">
        <v>0.4</v>
      </c>
      <c r="AK46" s="117"/>
      <c r="AL46" s="117"/>
    </row>
    <row r="47" spans="1:38" ht="21.75" customHeight="1" x14ac:dyDescent="0.2">
      <c r="A47" s="4" t="s">
        <v>129</v>
      </c>
      <c r="B47" s="110"/>
      <c r="C47" s="70"/>
      <c r="D47" s="110"/>
      <c r="E47" s="70"/>
      <c r="F47" s="71"/>
      <c r="G47" s="71"/>
      <c r="H47" s="71"/>
      <c r="I47" s="71"/>
      <c r="J47" s="71"/>
      <c r="K47" s="79">
        <f t="shared" si="3"/>
        <v>0</v>
      </c>
      <c r="L47" s="3"/>
      <c r="M47" s="2"/>
      <c r="N47" s="2"/>
      <c r="O47" s="119">
        <f t="shared" si="2"/>
        <v>0</v>
      </c>
      <c r="P47" s="110">
        <f t="shared" si="4"/>
        <v>0</v>
      </c>
      <c r="Q47" s="110">
        <f t="shared" si="5"/>
        <v>0</v>
      </c>
      <c r="R47" s="5">
        <f t="shared" si="6"/>
        <v>0</v>
      </c>
      <c r="T47" s="123">
        <f>C47*AJ47</f>
        <v>0</v>
      </c>
      <c r="U47" s="124"/>
      <c r="V47" s="125"/>
      <c r="X47" s="73" t="str">
        <f t="shared" si="7"/>
        <v>Kurslokale für Erwachsenenbildung</v>
      </c>
      <c r="Y47" s="371" t="s">
        <v>190</v>
      </c>
      <c r="Z47" s="371" t="s">
        <v>34</v>
      </c>
      <c r="AA47" s="117">
        <f t="shared" si="8"/>
        <v>3.7</v>
      </c>
      <c r="AB47" s="118">
        <v>0.3</v>
      </c>
      <c r="AC47" s="118">
        <v>0.1</v>
      </c>
      <c r="AI47" s="73" t="s">
        <v>163</v>
      </c>
      <c r="AJ47" s="117">
        <v>0.4</v>
      </c>
      <c r="AK47" s="117"/>
      <c r="AL47" s="117"/>
    </row>
    <row r="48" spans="1:38" ht="21.75" customHeight="1" x14ac:dyDescent="0.2">
      <c r="A48" s="4" t="s">
        <v>130</v>
      </c>
      <c r="B48" s="110"/>
      <c r="C48" s="70"/>
      <c r="D48" s="110"/>
      <c r="E48" s="70"/>
      <c r="F48" s="71"/>
      <c r="G48" s="71"/>
      <c r="H48" s="71"/>
      <c r="I48" s="71"/>
      <c r="J48" s="71"/>
      <c r="K48" s="79">
        <f t="shared" si="3"/>
        <v>0</v>
      </c>
      <c r="L48" s="3"/>
      <c r="M48" s="2"/>
      <c r="N48" s="2"/>
      <c r="O48" s="132">
        <f t="shared" si="2"/>
        <v>0</v>
      </c>
      <c r="P48" s="133">
        <f t="shared" si="4"/>
        <v>0</v>
      </c>
      <c r="Q48" s="133">
        <f t="shared" si="5"/>
        <v>0</v>
      </c>
      <c r="R48" s="134">
        <f t="shared" si="6"/>
        <v>0</v>
      </c>
      <c r="T48" s="135">
        <f>C48*AJ48</f>
        <v>0</v>
      </c>
      <c r="U48" s="136"/>
      <c r="V48" s="137"/>
      <c r="X48" s="73" t="str">
        <f t="shared" si="7"/>
        <v>Sitzungs- und Konferenzsäle</v>
      </c>
      <c r="Y48" s="371" t="s">
        <v>190</v>
      </c>
      <c r="Z48" s="371" t="s">
        <v>34</v>
      </c>
      <c r="AA48" s="117">
        <f t="shared" si="8"/>
        <v>3.7</v>
      </c>
      <c r="AB48" s="118">
        <v>0.3</v>
      </c>
      <c r="AC48" s="118">
        <v>0.1</v>
      </c>
      <c r="AI48" s="73" t="s">
        <v>154</v>
      </c>
      <c r="AJ48" s="117">
        <v>0.12</v>
      </c>
      <c r="AK48" s="117"/>
      <c r="AL48" s="117"/>
    </row>
    <row r="49" spans="1:37" ht="16.5" customHeight="1" x14ac:dyDescent="0.2">
      <c r="A49" s="2"/>
      <c r="B49" s="2"/>
      <c r="C49" s="2"/>
      <c r="D49" s="2"/>
      <c r="E49" s="2"/>
      <c r="F49" s="2"/>
      <c r="G49" s="2"/>
      <c r="H49" s="2"/>
      <c r="I49" s="2"/>
      <c r="J49" s="2"/>
      <c r="K49" s="2"/>
      <c r="L49" s="3"/>
      <c r="M49" s="2"/>
      <c r="N49" s="2"/>
      <c r="O49" s="2"/>
      <c r="P49" s="2"/>
      <c r="Q49" s="2"/>
      <c r="R49" s="2"/>
      <c r="T49" s="124"/>
      <c r="U49" s="124"/>
      <c r="V49" s="124"/>
    </row>
    <row r="50" spans="1:37" ht="52.5" customHeight="1" x14ac:dyDescent="0.2">
      <c r="A50" s="78" t="s">
        <v>131</v>
      </c>
      <c r="B50" s="89" t="s">
        <v>183</v>
      </c>
      <c r="C50" s="89" t="s">
        <v>245</v>
      </c>
      <c r="D50" s="89" t="s">
        <v>244</v>
      </c>
      <c r="E50" s="89" t="s">
        <v>505</v>
      </c>
      <c r="F50" s="77" t="s">
        <v>374</v>
      </c>
      <c r="G50" s="77" t="s">
        <v>506</v>
      </c>
      <c r="H50" s="77" t="s">
        <v>502</v>
      </c>
      <c r="I50" s="77" t="s">
        <v>503</v>
      </c>
      <c r="J50" s="77" t="s">
        <v>504</v>
      </c>
      <c r="K50" s="77" t="s">
        <v>477</v>
      </c>
      <c r="L50" s="14"/>
      <c r="M50" s="14"/>
      <c r="N50" s="14"/>
      <c r="O50" s="89" t="s">
        <v>32</v>
      </c>
      <c r="P50" s="91" t="s">
        <v>201</v>
      </c>
      <c r="Q50" s="91" t="s">
        <v>202</v>
      </c>
      <c r="R50" s="91" t="s">
        <v>203</v>
      </c>
      <c r="T50" s="92" t="s">
        <v>149</v>
      </c>
      <c r="U50" s="92" t="s">
        <v>150</v>
      </c>
      <c r="V50" s="92" t="s">
        <v>179</v>
      </c>
      <c r="Y50" s="92" t="s">
        <v>192</v>
      </c>
      <c r="Z50" s="93" t="s">
        <v>194</v>
      </c>
      <c r="AA50" s="93" t="s">
        <v>189</v>
      </c>
      <c r="AB50" s="93" t="s">
        <v>70</v>
      </c>
      <c r="AC50" s="93" t="s">
        <v>71</v>
      </c>
      <c r="AI50" s="93" t="s">
        <v>151</v>
      </c>
      <c r="AJ50" s="93" t="s">
        <v>181</v>
      </c>
      <c r="AK50" s="93" t="s">
        <v>182</v>
      </c>
    </row>
    <row r="51" spans="1:37" ht="21" customHeight="1" x14ac:dyDescent="0.2">
      <c r="A51" s="4" t="s">
        <v>133</v>
      </c>
      <c r="B51" s="187"/>
      <c r="C51" s="187"/>
      <c r="D51" s="110"/>
      <c r="E51" s="70"/>
      <c r="F51" s="71"/>
      <c r="G51" s="71"/>
      <c r="H51" s="71"/>
      <c r="I51" s="71"/>
      <c r="J51" s="71"/>
      <c r="K51" s="79">
        <f t="shared" ref="K51:K66" si="9">E51</f>
        <v>0</v>
      </c>
      <c r="L51" s="3"/>
      <c r="M51" s="2"/>
      <c r="N51" s="2"/>
      <c r="O51" s="111">
        <f t="shared" ref="O51:O66" si="10">SUM(T51:V51)</f>
        <v>0</v>
      </c>
      <c r="P51" s="112">
        <f t="shared" ref="P51:P66" si="11">AA51*O51</f>
        <v>0</v>
      </c>
      <c r="Q51" s="112">
        <f t="shared" ref="Q51:Q66" si="12">P51*AB51</f>
        <v>0</v>
      </c>
      <c r="R51" s="113">
        <f t="shared" ref="R51:R66" si="13">P51*AC51</f>
        <v>0</v>
      </c>
      <c r="T51" s="138"/>
      <c r="U51" s="139"/>
      <c r="V51" s="140">
        <f>AJ51*B51/100+AK51*C51</f>
        <v>0</v>
      </c>
      <c r="X51" s="73" t="str">
        <f t="shared" ref="X51:X66" si="14">A51</f>
        <v>Eisbahn</v>
      </c>
      <c r="Y51" s="371" t="s">
        <v>37</v>
      </c>
      <c r="Z51" s="371" t="s">
        <v>34</v>
      </c>
      <c r="AA51" s="117">
        <f t="shared" ref="AA51:AA66" si="15">INDEX($B$208:$P$216,MATCH($Y51,$A$208:$A$216,0),MATCH($Z51,$B$207:$P$207,0))</f>
        <v>3.3</v>
      </c>
      <c r="AB51" s="118">
        <v>0.3</v>
      </c>
      <c r="AC51" s="118">
        <v>0.1</v>
      </c>
      <c r="AI51" s="73" t="s">
        <v>164</v>
      </c>
      <c r="AJ51" s="117">
        <v>2</v>
      </c>
      <c r="AK51" s="117">
        <v>0.1</v>
      </c>
    </row>
    <row r="52" spans="1:37" ht="21" customHeight="1" x14ac:dyDescent="0.2">
      <c r="A52" s="4" t="s">
        <v>132</v>
      </c>
      <c r="B52" s="110"/>
      <c r="C52" s="70"/>
      <c r="D52" s="70"/>
      <c r="E52" s="70"/>
      <c r="F52" s="71"/>
      <c r="G52" s="71"/>
      <c r="H52" s="71"/>
      <c r="I52" s="71"/>
      <c r="J52" s="71"/>
      <c r="K52" s="79">
        <f t="shared" si="9"/>
        <v>0</v>
      </c>
      <c r="L52" s="3"/>
      <c r="M52" s="2"/>
      <c r="N52" s="2"/>
      <c r="O52" s="119">
        <f t="shared" si="10"/>
        <v>0</v>
      </c>
      <c r="P52" s="110">
        <f t="shared" si="11"/>
        <v>0</v>
      </c>
      <c r="Q52" s="110">
        <f t="shared" si="12"/>
        <v>0</v>
      </c>
      <c r="R52" s="5">
        <f t="shared" si="13"/>
        <v>0</v>
      </c>
      <c r="T52" s="123"/>
      <c r="U52" s="124"/>
      <c r="V52" s="125">
        <f>AJ52*C52+AK52*D52</f>
        <v>0</v>
      </c>
      <c r="X52" s="73" t="str">
        <f t="shared" si="14"/>
        <v>Hallenbad</v>
      </c>
      <c r="Y52" s="371" t="s">
        <v>37</v>
      </c>
      <c r="Z52" s="371" t="s">
        <v>34</v>
      </c>
      <c r="AA52" s="117">
        <f t="shared" si="15"/>
        <v>3.3</v>
      </c>
      <c r="AB52" s="118">
        <v>0.3</v>
      </c>
      <c r="AC52" s="118">
        <v>0.1</v>
      </c>
      <c r="AI52" s="73" t="s">
        <v>165</v>
      </c>
      <c r="AJ52" s="117">
        <v>0.2</v>
      </c>
      <c r="AK52" s="117">
        <v>0.1</v>
      </c>
    </row>
    <row r="53" spans="1:37" ht="21" customHeight="1" x14ac:dyDescent="0.2">
      <c r="A53" s="4" t="s">
        <v>134</v>
      </c>
      <c r="B53" s="70"/>
      <c r="C53" s="110"/>
      <c r="D53" s="110"/>
      <c r="E53" s="70"/>
      <c r="F53" s="71"/>
      <c r="G53" s="71"/>
      <c r="H53" s="71"/>
      <c r="I53" s="71"/>
      <c r="J53" s="71"/>
      <c r="K53" s="79">
        <f t="shared" si="9"/>
        <v>0</v>
      </c>
      <c r="L53" s="3"/>
      <c r="M53" s="2"/>
      <c r="N53" s="2"/>
      <c r="O53" s="119">
        <f t="shared" si="10"/>
        <v>0</v>
      </c>
      <c r="P53" s="110">
        <f t="shared" si="11"/>
        <v>0</v>
      </c>
      <c r="Q53" s="110">
        <f t="shared" si="12"/>
        <v>0</v>
      </c>
      <c r="R53" s="5">
        <f t="shared" si="13"/>
        <v>0</v>
      </c>
      <c r="T53" s="123"/>
      <c r="U53" s="124"/>
      <c r="V53" s="125">
        <f>B53*AJ53/100</f>
        <v>0</v>
      </c>
      <c r="X53" s="73" t="str">
        <f t="shared" si="14"/>
        <v>Freibad</v>
      </c>
      <c r="Y53" s="371" t="s">
        <v>37</v>
      </c>
      <c r="Z53" s="371" t="s">
        <v>34</v>
      </c>
      <c r="AA53" s="117">
        <f t="shared" si="15"/>
        <v>3.3</v>
      </c>
      <c r="AB53" s="118">
        <v>0.3</v>
      </c>
      <c r="AC53" s="118">
        <v>0.1</v>
      </c>
      <c r="AI53" s="73" t="s">
        <v>166</v>
      </c>
      <c r="AJ53" s="117">
        <v>0.4</v>
      </c>
      <c r="AK53" s="117"/>
    </row>
    <row r="54" spans="1:37" ht="21" customHeight="1" x14ac:dyDescent="0.2">
      <c r="A54" s="4" t="s">
        <v>135</v>
      </c>
      <c r="B54" s="70"/>
      <c r="C54" s="70"/>
      <c r="D54" s="110"/>
      <c r="E54" s="70"/>
      <c r="F54" s="71"/>
      <c r="G54" s="71"/>
      <c r="H54" s="71"/>
      <c r="I54" s="71"/>
      <c r="J54" s="71"/>
      <c r="K54" s="79">
        <f t="shared" si="9"/>
        <v>0</v>
      </c>
      <c r="L54" s="3"/>
      <c r="M54" s="2"/>
      <c r="N54" s="2"/>
      <c r="O54" s="119">
        <f t="shared" si="10"/>
        <v>0</v>
      </c>
      <c r="P54" s="110">
        <f t="shared" si="11"/>
        <v>0</v>
      </c>
      <c r="Q54" s="110">
        <f t="shared" si="12"/>
        <v>0</v>
      </c>
      <c r="R54" s="5">
        <f t="shared" si="13"/>
        <v>0</v>
      </c>
      <c r="T54" s="123"/>
      <c r="U54" s="124"/>
      <c r="V54" s="125">
        <f>B54*AJ54/100+C54*AK54</f>
        <v>0</v>
      </c>
      <c r="X54" s="73" t="str">
        <f t="shared" si="14"/>
        <v>Turnhalle</v>
      </c>
      <c r="Y54" s="371" t="s">
        <v>37</v>
      </c>
      <c r="Z54" s="371" t="s">
        <v>34</v>
      </c>
      <c r="AA54" s="117">
        <f t="shared" si="15"/>
        <v>3.3</v>
      </c>
      <c r="AB54" s="118">
        <v>0.3</v>
      </c>
      <c r="AC54" s="118">
        <v>0.1</v>
      </c>
      <c r="AI54" s="73" t="s">
        <v>167</v>
      </c>
      <c r="AJ54" s="117">
        <v>2</v>
      </c>
      <c r="AK54" s="117">
        <v>0.1</v>
      </c>
    </row>
    <row r="55" spans="1:37" ht="21" customHeight="1" x14ac:dyDescent="0.2">
      <c r="A55" s="4" t="s">
        <v>136</v>
      </c>
      <c r="B55" s="110"/>
      <c r="C55" s="70"/>
      <c r="D55" s="110"/>
      <c r="E55" s="70"/>
      <c r="F55" s="71"/>
      <c r="G55" s="71"/>
      <c r="H55" s="71"/>
      <c r="I55" s="71"/>
      <c r="J55" s="71"/>
      <c r="K55" s="79">
        <f t="shared" si="9"/>
        <v>0</v>
      </c>
      <c r="L55" s="3"/>
      <c r="M55" s="2"/>
      <c r="N55" s="2"/>
      <c r="O55" s="119">
        <f t="shared" si="10"/>
        <v>0</v>
      </c>
      <c r="P55" s="110">
        <f t="shared" si="11"/>
        <v>0</v>
      </c>
      <c r="Q55" s="110">
        <f t="shared" si="12"/>
        <v>0</v>
      </c>
      <c r="R55" s="5">
        <f t="shared" si="13"/>
        <v>0</v>
      </c>
      <c r="T55" s="123"/>
      <c r="U55" s="124"/>
      <c r="V55" s="125">
        <f>C55*AJ55</f>
        <v>0</v>
      </c>
      <c r="X55" s="73" t="str">
        <f t="shared" si="14"/>
        <v>Fitnesscenter</v>
      </c>
      <c r="Y55" s="371" t="s">
        <v>37</v>
      </c>
      <c r="Z55" s="371" t="s">
        <v>34</v>
      </c>
      <c r="AA55" s="117">
        <f t="shared" si="15"/>
        <v>3.3</v>
      </c>
      <c r="AB55" s="118">
        <v>0.3</v>
      </c>
      <c r="AC55" s="118">
        <v>0.1</v>
      </c>
      <c r="AI55" s="73" t="s">
        <v>168</v>
      </c>
      <c r="AJ55" s="117">
        <v>0.3</v>
      </c>
      <c r="AK55" s="117"/>
    </row>
    <row r="56" spans="1:37" ht="21" customHeight="1" x14ac:dyDescent="0.2">
      <c r="A56" s="4" t="s">
        <v>137</v>
      </c>
      <c r="B56" s="70"/>
      <c r="C56" s="70"/>
      <c r="D56" s="110"/>
      <c r="E56" s="70"/>
      <c r="F56" s="71"/>
      <c r="G56" s="71"/>
      <c r="H56" s="71"/>
      <c r="I56" s="71"/>
      <c r="J56" s="71"/>
      <c r="K56" s="79">
        <f t="shared" si="9"/>
        <v>0</v>
      </c>
      <c r="L56" s="3"/>
      <c r="M56" s="2"/>
      <c r="N56" s="2"/>
      <c r="O56" s="119">
        <f t="shared" si="10"/>
        <v>0</v>
      </c>
      <c r="P56" s="110">
        <f t="shared" si="11"/>
        <v>0</v>
      </c>
      <c r="Q56" s="110">
        <f t="shared" si="12"/>
        <v>0</v>
      </c>
      <c r="R56" s="5">
        <f t="shared" si="13"/>
        <v>0</v>
      </c>
      <c r="T56" s="123"/>
      <c r="U56" s="124"/>
      <c r="V56" s="125">
        <f>B56*AJ56/100+C56*AK56</f>
        <v>0</v>
      </c>
      <c r="X56" s="73" t="str">
        <f t="shared" si="14"/>
        <v>Leichtathletikanlage mit Spielfeldern</v>
      </c>
      <c r="Y56" s="371" t="s">
        <v>37</v>
      </c>
      <c r="Z56" s="371" t="s">
        <v>34</v>
      </c>
      <c r="AA56" s="117">
        <f t="shared" si="15"/>
        <v>3.3</v>
      </c>
      <c r="AB56" s="118">
        <v>0.3</v>
      </c>
      <c r="AC56" s="118">
        <v>0.1</v>
      </c>
      <c r="AI56" s="73" t="s">
        <v>169</v>
      </c>
      <c r="AJ56" s="117">
        <v>0.4</v>
      </c>
      <c r="AK56" s="117">
        <v>0.1</v>
      </c>
    </row>
    <row r="57" spans="1:37" ht="21" customHeight="1" x14ac:dyDescent="0.2">
      <c r="A57" s="4" t="s">
        <v>138</v>
      </c>
      <c r="B57" s="110"/>
      <c r="C57" s="70"/>
      <c r="D57" s="110"/>
      <c r="E57" s="70"/>
      <c r="F57" s="71"/>
      <c r="G57" s="71"/>
      <c r="H57" s="71"/>
      <c r="I57" s="71"/>
      <c r="J57" s="71"/>
      <c r="K57" s="79">
        <f t="shared" si="9"/>
        <v>0</v>
      </c>
      <c r="L57" s="3"/>
      <c r="M57" s="2"/>
      <c r="N57" s="2"/>
      <c r="O57" s="119">
        <f t="shared" si="10"/>
        <v>0</v>
      </c>
      <c r="P57" s="110">
        <f t="shared" si="11"/>
        <v>0</v>
      </c>
      <c r="Q57" s="110">
        <f t="shared" si="12"/>
        <v>0</v>
      </c>
      <c r="R57" s="5">
        <f t="shared" si="13"/>
        <v>0</v>
      </c>
      <c r="T57" s="123"/>
      <c r="U57" s="124"/>
      <c r="V57" s="125">
        <f>C57*AJ57</f>
        <v>0</v>
      </c>
      <c r="X57" s="73" t="str">
        <f t="shared" si="14"/>
        <v>Stadion (Fussball, Hockey)</v>
      </c>
      <c r="Y57" s="371" t="s">
        <v>37</v>
      </c>
      <c r="Z57" s="371" t="s">
        <v>34</v>
      </c>
      <c r="AA57" s="117">
        <f t="shared" si="15"/>
        <v>3.3</v>
      </c>
      <c r="AB57" s="118">
        <v>0.3</v>
      </c>
      <c r="AC57" s="118">
        <v>0.1</v>
      </c>
      <c r="AI57" s="73" t="s">
        <v>170</v>
      </c>
      <c r="AJ57" s="117">
        <v>0.15</v>
      </c>
      <c r="AK57" s="117"/>
    </row>
    <row r="58" spans="1:37" ht="21" customHeight="1" x14ac:dyDescent="0.2">
      <c r="A58" s="4" t="s">
        <v>139</v>
      </c>
      <c r="B58" s="110"/>
      <c r="C58" s="70"/>
      <c r="D58" s="70"/>
      <c r="E58" s="70"/>
      <c r="F58" s="71"/>
      <c r="G58" s="71"/>
      <c r="H58" s="71"/>
      <c r="I58" s="71"/>
      <c r="J58" s="71"/>
      <c r="K58" s="79">
        <f t="shared" si="9"/>
        <v>0</v>
      </c>
      <c r="L58" s="3"/>
      <c r="M58" s="2"/>
      <c r="N58" s="2"/>
      <c r="O58" s="119">
        <f t="shared" si="10"/>
        <v>0</v>
      </c>
      <c r="P58" s="110">
        <f t="shared" si="11"/>
        <v>0</v>
      </c>
      <c r="Q58" s="110">
        <f t="shared" si="12"/>
        <v>0</v>
      </c>
      <c r="R58" s="5">
        <f t="shared" si="13"/>
        <v>0</v>
      </c>
      <c r="T58" s="123"/>
      <c r="U58" s="124"/>
      <c r="V58" s="125">
        <f>C58*AK58+D58*AJ58</f>
        <v>0</v>
      </c>
      <c r="X58" s="73" t="str">
        <f t="shared" si="14"/>
        <v>Tennisplatz</v>
      </c>
      <c r="Y58" s="371" t="s">
        <v>37</v>
      </c>
      <c r="Z58" s="371" t="s">
        <v>34</v>
      </c>
      <c r="AA58" s="117">
        <f t="shared" si="15"/>
        <v>3.3</v>
      </c>
      <c r="AB58" s="118">
        <v>0.3</v>
      </c>
      <c r="AC58" s="118">
        <v>0.1</v>
      </c>
      <c r="AI58" s="73" t="s">
        <v>171</v>
      </c>
      <c r="AJ58" s="117">
        <v>2</v>
      </c>
      <c r="AK58" s="117">
        <v>0.1</v>
      </c>
    </row>
    <row r="59" spans="1:37" ht="21" customHeight="1" x14ac:dyDescent="0.2">
      <c r="A59" s="4" t="s">
        <v>140</v>
      </c>
      <c r="B59" s="110"/>
      <c r="C59" s="110"/>
      <c r="D59" s="70"/>
      <c r="E59" s="70"/>
      <c r="F59" s="71"/>
      <c r="G59" s="71"/>
      <c r="H59" s="71"/>
      <c r="I59" s="71"/>
      <c r="J59" s="71"/>
      <c r="K59" s="79">
        <f t="shared" si="9"/>
        <v>0</v>
      </c>
      <c r="L59" s="3"/>
      <c r="M59" s="2"/>
      <c r="N59" s="2"/>
      <c r="O59" s="119">
        <f t="shared" si="10"/>
        <v>0</v>
      </c>
      <c r="P59" s="110">
        <f t="shared" si="11"/>
        <v>0</v>
      </c>
      <c r="Q59" s="110">
        <f t="shared" si="12"/>
        <v>0</v>
      </c>
      <c r="R59" s="5">
        <f t="shared" si="13"/>
        <v>0</v>
      </c>
      <c r="T59" s="123"/>
      <c r="U59" s="124"/>
      <c r="V59" s="125">
        <f>D59*AJ59</f>
        <v>0</v>
      </c>
      <c r="X59" s="73" t="str">
        <f t="shared" si="14"/>
        <v>Schiessanlage</v>
      </c>
      <c r="Y59" s="371" t="s">
        <v>37</v>
      </c>
      <c r="Z59" s="371" t="s">
        <v>34</v>
      </c>
      <c r="AA59" s="117">
        <f t="shared" si="15"/>
        <v>3.3</v>
      </c>
      <c r="AB59" s="118">
        <v>0.3</v>
      </c>
      <c r="AC59" s="118">
        <v>0.1</v>
      </c>
      <c r="AI59" s="73" t="s">
        <v>172</v>
      </c>
      <c r="AJ59" s="117">
        <v>0.5</v>
      </c>
      <c r="AK59" s="117"/>
    </row>
    <row r="60" spans="1:37" ht="21" customHeight="1" x14ac:dyDescent="0.2">
      <c r="A60" s="4" t="s">
        <v>141</v>
      </c>
      <c r="B60" s="110"/>
      <c r="C60" s="110"/>
      <c r="D60" s="70"/>
      <c r="E60" s="70"/>
      <c r="F60" s="71"/>
      <c r="G60" s="71"/>
      <c r="H60" s="71"/>
      <c r="I60" s="71"/>
      <c r="J60" s="71"/>
      <c r="K60" s="79">
        <f t="shared" si="9"/>
        <v>0</v>
      </c>
      <c r="L60" s="3"/>
      <c r="M60" s="2"/>
      <c r="N60" s="2"/>
      <c r="O60" s="119">
        <f t="shared" si="10"/>
        <v>0</v>
      </c>
      <c r="P60" s="110">
        <f t="shared" si="11"/>
        <v>0</v>
      </c>
      <c r="Q60" s="110">
        <f t="shared" si="12"/>
        <v>0</v>
      </c>
      <c r="R60" s="5">
        <f t="shared" si="13"/>
        <v>0</v>
      </c>
      <c r="T60" s="123"/>
      <c r="U60" s="124"/>
      <c r="V60" s="125">
        <f>D60*AJ60</f>
        <v>0</v>
      </c>
      <c r="X60" s="73" t="str">
        <f t="shared" si="14"/>
        <v>Finnenbahn, Vita-Parcours</v>
      </c>
      <c r="Y60" s="371" t="s">
        <v>37</v>
      </c>
      <c r="Z60" s="371" t="s">
        <v>34</v>
      </c>
      <c r="AA60" s="117">
        <f t="shared" si="15"/>
        <v>3.3</v>
      </c>
      <c r="AB60" s="118">
        <v>0.3</v>
      </c>
      <c r="AC60" s="118">
        <v>0.1</v>
      </c>
      <c r="AI60" s="73" t="s">
        <v>173</v>
      </c>
      <c r="AJ60" s="117">
        <v>5</v>
      </c>
      <c r="AK60" s="117"/>
    </row>
    <row r="61" spans="1:37" ht="21" customHeight="1" x14ac:dyDescent="0.2">
      <c r="A61" s="4" t="s">
        <v>142</v>
      </c>
      <c r="B61" s="110"/>
      <c r="C61" s="70"/>
      <c r="D61" s="110"/>
      <c r="E61" s="70"/>
      <c r="F61" s="71"/>
      <c r="G61" s="71"/>
      <c r="H61" s="71"/>
      <c r="I61" s="71"/>
      <c r="J61" s="71"/>
      <c r="K61" s="79">
        <f t="shared" si="9"/>
        <v>0</v>
      </c>
      <c r="L61" s="3"/>
      <c r="M61" s="2"/>
      <c r="N61" s="2"/>
      <c r="O61" s="119">
        <f t="shared" si="10"/>
        <v>0</v>
      </c>
      <c r="P61" s="110">
        <f t="shared" si="11"/>
        <v>0</v>
      </c>
      <c r="Q61" s="110">
        <f t="shared" si="12"/>
        <v>0</v>
      </c>
      <c r="R61" s="5">
        <f t="shared" si="13"/>
        <v>0</v>
      </c>
      <c r="T61" s="123"/>
      <c r="U61" s="124"/>
      <c r="V61" s="125">
        <f>C61*AJ61</f>
        <v>0</v>
      </c>
      <c r="X61" s="73" t="str">
        <f t="shared" si="14"/>
        <v>Spielsalon, Casino, Clubraum</v>
      </c>
      <c r="Y61" s="371" t="s">
        <v>37</v>
      </c>
      <c r="Z61" s="371" t="s">
        <v>34</v>
      </c>
      <c r="AA61" s="117">
        <f t="shared" si="15"/>
        <v>3.3</v>
      </c>
      <c r="AB61" s="118">
        <v>0.3</v>
      </c>
      <c r="AC61" s="118">
        <v>0.1</v>
      </c>
      <c r="AI61" s="73" t="s">
        <v>174</v>
      </c>
      <c r="AJ61" s="117">
        <v>0.3</v>
      </c>
      <c r="AK61" s="117"/>
    </row>
    <row r="62" spans="1:37" ht="21" customHeight="1" x14ac:dyDescent="0.2">
      <c r="A62" s="4" t="s">
        <v>143</v>
      </c>
      <c r="B62" s="110"/>
      <c r="C62" s="110"/>
      <c r="D62" s="70"/>
      <c r="E62" s="70"/>
      <c r="F62" s="71"/>
      <c r="G62" s="71"/>
      <c r="H62" s="71"/>
      <c r="I62" s="71"/>
      <c r="J62" s="71"/>
      <c r="K62" s="79">
        <f t="shared" si="9"/>
        <v>0</v>
      </c>
      <c r="L62" s="3"/>
      <c r="M62" s="2"/>
      <c r="N62" s="2"/>
      <c r="O62" s="119">
        <f t="shared" si="10"/>
        <v>0</v>
      </c>
      <c r="P62" s="110">
        <f t="shared" si="11"/>
        <v>0</v>
      </c>
      <c r="Q62" s="110">
        <f t="shared" si="12"/>
        <v>0</v>
      </c>
      <c r="R62" s="5">
        <f t="shared" si="13"/>
        <v>0</v>
      </c>
      <c r="T62" s="123"/>
      <c r="U62" s="124"/>
      <c r="V62" s="125">
        <f>D62*AJ62</f>
        <v>0</v>
      </c>
      <c r="X62" s="73" t="str">
        <f t="shared" si="14"/>
        <v>Minigolf</v>
      </c>
      <c r="Y62" s="371" t="s">
        <v>37</v>
      </c>
      <c r="Z62" s="371" t="s">
        <v>34</v>
      </c>
      <c r="AA62" s="117">
        <f t="shared" si="15"/>
        <v>3.3</v>
      </c>
      <c r="AB62" s="118">
        <v>0.3</v>
      </c>
      <c r="AC62" s="118">
        <v>0.1</v>
      </c>
      <c r="AI62" s="73" t="s">
        <v>173</v>
      </c>
      <c r="AJ62" s="117">
        <v>6</v>
      </c>
      <c r="AK62" s="117"/>
    </row>
    <row r="63" spans="1:37" ht="21" customHeight="1" x14ac:dyDescent="0.2">
      <c r="A63" s="4" t="s">
        <v>144</v>
      </c>
      <c r="B63" s="110"/>
      <c r="C63" s="110"/>
      <c r="D63" s="70"/>
      <c r="E63" s="70"/>
      <c r="F63" s="71"/>
      <c r="G63" s="71"/>
      <c r="H63" s="71"/>
      <c r="I63" s="71"/>
      <c r="J63" s="71"/>
      <c r="K63" s="79">
        <f t="shared" si="9"/>
        <v>0</v>
      </c>
      <c r="L63" s="3"/>
      <c r="M63" s="2"/>
      <c r="N63" s="2"/>
      <c r="O63" s="119">
        <f t="shared" si="10"/>
        <v>0</v>
      </c>
      <c r="P63" s="110">
        <f t="shared" si="11"/>
        <v>0</v>
      </c>
      <c r="Q63" s="110">
        <f t="shared" si="12"/>
        <v>0</v>
      </c>
      <c r="R63" s="5">
        <f t="shared" si="13"/>
        <v>0</v>
      </c>
      <c r="T63" s="123"/>
      <c r="U63" s="124"/>
      <c r="V63" s="125">
        <f>D63*AJ63</f>
        <v>0</v>
      </c>
      <c r="X63" s="73" t="str">
        <f t="shared" si="14"/>
        <v>Billardsaal</v>
      </c>
      <c r="Y63" s="371" t="s">
        <v>37</v>
      </c>
      <c r="Z63" s="371" t="s">
        <v>34</v>
      </c>
      <c r="AA63" s="117">
        <f t="shared" si="15"/>
        <v>3.3</v>
      </c>
      <c r="AB63" s="118">
        <v>0.3</v>
      </c>
      <c r="AC63" s="118">
        <v>0.1</v>
      </c>
      <c r="AI63" s="73" t="s">
        <v>175</v>
      </c>
      <c r="AJ63" s="117">
        <v>1</v>
      </c>
      <c r="AK63" s="117"/>
    </row>
    <row r="64" spans="1:37" ht="21" customHeight="1" x14ac:dyDescent="0.2">
      <c r="A64" s="4" t="s">
        <v>145</v>
      </c>
      <c r="B64" s="110"/>
      <c r="C64" s="110"/>
      <c r="D64" s="70"/>
      <c r="E64" s="70"/>
      <c r="F64" s="71"/>
      <c r="G64" s="71"/>
      <c r="H64" s="71"/>
      <c r="I64" s="71"/>
      <c r="J64" s="71"/>
      <c r="K64" s="79">
        <f t="shared" si="9"/>
        <v>0</v>
      </c>
      <c r="L64" s="3"/>
      <c r="M64" s="2"/>
      <c r="N64" s="2"/>
      <c r="O64" s="119">
        <f t="shared" si="10"/>
        <v>0</v>
      </c>
      <c r="P64" s="110">
        <f t="shared" si="11"/>
        <v>0</v>
      </c>
      <c r="Q64" s="110">
        <f t="shared" si="12"/>
        <v>0</v>
      </c>
      <c r="R64" s="5">
        <f t="shared" si="13"/>
        <v>0</v>
      </c>
      <c r="T64" s="123"/>
      <c r="U64" s="124"/>
      <c r="V64" s="125">
        <f>D64*AJ64</f>
        <v>0</v>
      </c>
      <c r="X64" s="73" t="str">
        <f t="shared" si="14"/>
        <v>Kegel-, Bowlingbahn</v>
      </c>
      <c r="Y64" s="371" t="s">
        <v>37</v>
      </c>
      <c r="Z64" s="371" t="s">
        <v>34</v>
      </c>
      <c r="AA64" s="117">
        <f t="shared" si="15"/>
        <v>3.3</v>
      </c>
      <c r="AB64" s="118">
        <v>0.3</v>
      </c>
      <c r="AC64" s="118">
        <v>0.1</v>
      </c>
      <c r="AI64" s="73" t="s">
        <v>176</v>
      </c>
      <c r="AJ64" s="117">
        <v>2</v>
      </c>
      <c r="AK64" s="117"/>
    </row>
    <row r="65" spans="1:53" ht="21" customHeight="1" x14ac:dyDescent="0.2">
      <c r="A65" s="4" t="s">
        <v>146</v>
      </c>
      <c r="B65" s="110"/>
      <c r="C65" s="70"/>
      <c r="D65" s="110"/>
      <c r="E65" s="70"/>
      <c r="F65" s="71"/>
      <c r="G65" s="71"/>
      <c r="H65" s="71"/>
      <c r="I65" s="71"/>
      <c r="J65" s="71"/>
      <c r="K65" s="79">
        <f t="shared" si="9"/>
        <v>0</v>
      </c>
      <c r="L65" s="3"/>
      <c r="M65" s="2"/>
      <c r="N65" s="2"/>
      <c r="O65" s="119">
        <f t="shared" si="10"/>
        <v>0</v>
      </c>
      <c r="P65" s="110">
        <f t="shared" si="11"/>
        <v>0</v>
      </c>
      <c r="Q65" s="110">
        <f t="shared" si="12"/>
        <v>0</v>
      </c>
      <c r="R65" s="5">
        <f t="shared" si="13"/>
        <v>0</v>
      </c>
      <c r="T65" s="123"/>
      <c r="U65" s="124"/>
      <c r="V65" s="125">
        <f>C65*AJ65</f>
        <v>0</v>
      </c>
      <c r="X65" s="73" t="str">
        <f t="shared" si="14"/>
        <v>Reithalle, -stall</v>
      </c>
      <c r="Y65" s="371" t="s">
        <v>37</v>
      </c>
      <c r="Z65" s="371" t="s">
        <v>34</v>
      </c>
      <c r="AA65" s="117">
        <f t="shared" si="15"/>
        <v>3.3</v>
      </c>
      <c r="AB65" s="118">
        <v>0.3</v>
      </c>
      <c r="AC65" s="118">
        <v>0.1</v>
      </c>
      <c r="AI65" s="73" t="s">
        <v>177</v>
      </c>
      <c r="AJ65" s="117">
        <v>0.5</v>
      </c>
      <c r="AK65" s="117"/>
    </row>
    <row r="66" spans="1:53" ht="21" customHeight="1" x14ac:dyDescent="0.2">
      <c r="A66" s="4" t="s">
        <v>147</v>
      </c>
      <c r="B66" s="110"/>
      <c r="C66" s="70"/>
      <c r="D66" s="110"/>
      <c r="E66" s="70"/>
      <c r="F66" s="71"/>
      <c r="G66" s="71"/>
      <c r="H66" s="71"/>
      <c r="I66" s="71"/>
      <c r="J66" s="71"/>
      <c r="K66" s="79">
        <f t="shared" si="9"/>
        <v>0</v>
      </c>
      <c r="L66" s="3"/>
      <c r="M66" s="2"/>
      <c r="N66" s="2"/>
      <c r="O66" s="132">
        <f t="shared" si="10"/>
        <v>0</v>
      </c>
      <c r="P66" s="133">
        <f t="shared" si="11"/>
        <v>0</v>
      </c>
      <c r="Q66" s="133">
        <f t="shared" si="12"/>
        <v>0</v>
      </c>
      <c r="R66" s="134">
        <f t="shared" si="13"/>
        <v>0</v>
      </c>
      <c r="T66" s="135"/>
      <c r="U66" s="136"/>
      <c r="V66" s="137">
        <f>C66*AJ66</f>
        <v>0</v>
      </c>
      <c r="X66" s="73" t="str">
        <f t="shared" si="14"/>
        <v>Bootshafen</v>
      </c>
      <c r="Y66" s="371" t="s">
        <v>37</v>
      </c>
      <c r="Z66" s="371" t="s">
        <v>34</v>
      </c>
      <c r="AA66" s="117">
        <f t="shared" si="15"/>
        <v>3.3</v>
      </c>
      <c r="AB66" s="118">
        <v>0.3</v>
      </c>
      <c r="AC66" s="118">
        <v>0.1</v>
      </c>
      <c r="AI66" s="73" t="s">
        <v>178</v>
      </c>
      <c r="AJ66" s="117">
        <v>0.3</v>
      </c>
      <c r="AK66" s="117"/>
    </row>
    <row r="67" spans="1:53" ht="16.5" customHeight="1" x14ac:dyDescent="0.2">
      <c r="A67" s="4"/>
      <c r="B67" s="110"/>
      <c r="C67" s="110"/>
      <c r="D67" s="110"/>
      <c r="E67" s="110"/>
      <c r="F67" s="110"/>
      <c r="G67" s="110"/>
      <c r="H67" s="110"/>
      <c r="I67" s="110"/>
      <c r="J67" s="110"/>
      <c r="K67" s="3"/>
      <c r="L67" s="3"/>
      <c r="M67" s="2"/>
      <c r="N67" s="2"/>
      <c r="O67" s="141"/>
      <c r="P67" s="2"/>
      <c r="Q67" s="2"/>
      <c r="R67" s="2"/>
      <c r="T67" s="124"/>
      <c r="U67" s="124"/>
      <c r="V67" s="124"/>
      <c r="Y67" s="371"/>
      <c r="Z67" s="371"/>
      <c r="AA67" s="117"/>
      <c r="AB67" s="118"/>
      <c r="AC67" s="118"/>
      <c r="AJ67" s="117"/>
      <c r="AK67" s="117"/>
    </row>
    <row r="68" spans="1:53" ht="60" x14ac:dyDescent="0.2">
      <c r="A68" s="78" t="s">
        <v>25</v>
      </c>
      <c r="B68" s="89" t="s">
        <v>183</v>
      </c>
      <c r="C68" s="2"/>
      <c r="D68" s="2"/>
      <c r="E68" s="89" t="s">
        <v>505</v>
      </c>
      <c r="F68" s="77" t="s">
        <v>374</v>
      </c>
      <c r="G68" s="77" t="s">
        <v>506</v>
      </c>
      <c r="H68" s="77" t="s">
        <v>502</v>
      </c>
      <c r="I68" s="77" t="s">
        <v>503</v>
      </c>
      <c r="J68" s="77" t="s">
        <v>504</v>
      </c>
      <c r="K68" s="77" t="s">
        <v>477</v>
      </c>
      <c r="L68" s="14"/>
      <c r="M68" s="14"/>
      <c r="N68" s="14"/>
      <c r="O68" s="89" t="s">
        <v>32</v>
      </c>
      <c r="P68" s="91" t="s">
        <v>201</v>
      </c>
      <c r="Q68" s="91" t="s">
        <v>202</v>
      </c>
      <c r="R68" s="91" t="s">
        <v>203</v>
      </c>
      <c r="T68" s="92" t="s">
        <v>149</v>
      </c>
      <c r="U68" s="92" t="s">
        <v>150</v>
      </c>
      <c r="V68" s="92" t="s">
        <v>179</v>
      </c>
      <c r="Y68" s="92" t="s">
        <v>192</v>
      </c>
      <c r="Z68" s="93" t="s">
        <v>194</v>
      </c>
      <c r="AA68" s="93" t="s">
        <v>189</v>
      </c>
      <c r="AB68" s="93" t="s">
        <v>70</v>
      </c>
      <c r="AC68" s="93" t="s">
        <v>71</v>
      </c>
      <c r="AI68" s="93" t="s">
        <v>151</v>
      </c>
      <c r="AJ68" s="92" t="s">
        <v>149</v>
      </c>
      <c r="AK68" s="92" t="s">
        <v>150</v>
      </c>
      <c r="AL68" s="92" t="s">
        <v>179</v>
      </c>
    </row>
    <row r="69" spans="1:53" ht="66.75" customHeight="1" x14ac:dyDescent="0.2">
      <c r="A69" s="142" t="s">
        <v>282</v>
      </c>
      <c r="B69" s="187"/>
      <c r="C69" s="2"/>
      <c r="D69" s="2"/>
      <c r="E69" s="70"/>
      <c r="F69" s="71"/>
      <c r="G69" s="71"/>
      <c r="H69" s="71"/>
      <c r="I69" s="71"/>
      <c r="J69" s="71"/>
      <c r="K69" s="143" t="e">
        <f>SUMIF('Kennwerte Siedlungsdaten'!$C$7:$K$7, 'Grundlagen Verkehr'!$I$14, 'Kennwerte Siedlungsdaten'!C71:K71)/B69</f>
        <v>#DIV/0!</v>
      </c>
      <c r="L69" s="3"/>
      <c r="M69" s="2"/>
      <c r="N69" s="2"/>
      <c r="O69" s="144">
        <f>SUM(T69:V69)</f>
        <v>0</v>
      </c>
      <c r="P69" s="112">
        <f>AA69*O69</f>
        <v>0</v>
      </c>
      <c r="Q69" s="112">
        <f>P69*AB69</f>
        <v>0</v>
      </c>
      <c r="R69" s="113">
        <f>P69*AC69</f>
        <v>0</v>
      </c>
      <c r="S69" s="124"/>
      <c r="T69" s="138">
        <f>B69/AJ69</f>
        <v>0</v>
      </c>
      <c r="U69" s="139">
        <f>B69/AK69</f>
        <v>0</v>
      </c>
      <c r="V69" s="116"/>
      <c r="X69" s="145" t="str">
        <f>A69</f>
        <v>Einkaufszentren ab 2'000 m2 Verkehrsfläche / 3'000 m2 mGF mit Mischnutzung: Grossverteiler (inkl. Lebensmittel), Hobby, Mode, Möbel, Restaurants, etc.</v>
      </c>
      <c r="Y69" s="371" t="s">
        <v>41</v>
      </c>
      <c r="Z69" s="371" t="s">
        <v>34</v>
      </c>
      <c r="AA69" s="117">
        <f>INDEX($B$208:$P$216,MATCH($Y69,$A$208:$A$216,0),MATCH($Z69,$B$207:$P$207,0))</f>
        <v>4.416666666666667</v>
      </c>
      <c r="AB69" s="118">
        <v>0.3</v>
      </c>
      <c r="AC69" s="118">
        <v>0.1</v>
      </c>
      <c r="AI69" s="73" t="s">
        <v>249</v>
      </c>
      <c r="AJ69" s="117">
        <v>250</v>
      </c>
      <c r="AK69" s="117">
        <v>60</v>
      </c>
      <c r="AM69" s="146" t="s">
        <v>250</v>
      </c>
    </row>
    <row r="70" spans="1:53" ht="16.5" customHeight="1" x14ac:dyDescent="0.2">
      <c r="A70" s="2"/>
      <c r="B70" s="110"/>
      <c r="C70" s="2"/>
      <c r="D70" s="2"/>
      <c r="E70" s="2"/>
      <c r="F70" s="2"/>
      <c r="G70" s="2"/>
      <c r="H70" s="2"/>
      <c r="I70" s="2"/>
      <c r="J70" s="2"/>
      <c r="K70" s="2"/>
      <c r="L70" s="3"/>
      <c r="M70" s="2"/>
      <c r="N70" s="2"/>
      <c r="O70" s="147"/>
      <c r="P70" s="110"/>
      <c r="Q70" s="110"/>
      <c r="R70" s="5"/>
      <c r="S70" s="124"/>
      <c r="T70" s="123"/>
      <c r="U70" s="124"/>
      <c r="V70" s="121"/>
      <c r="AB70" s="118"/>
      <c r="AC70" s="118"/>
    </row>
    <row r="71" spans="1:53" ht="16.5" customHeight="1" x14ac:dyDescent="0.2">
      <c r="A71" s="3" t="s">
        <v>257</v>
      </c>
      <c r="B71" s="70"/>
      <c r="C71" s="2"/>
      <c r="D71" s="2"/>
      <c r="E71" s="70"/>
      <c r="F71" s="71"/>
      <c r="G71" s="71"/>
      <c r="H71" s="71"/>
      <c r="I71" s="71"/>
      <c r="J71" s="71"/>
      <c r="K71" s="143" t="e">
        <f>SUMIF('Kennwerte Siedlungsdaten'!$C$7:$K$7, 'Grundlagen Verkehr'!$I$14, 'Kennwerte Siedlungsdaten'!C73:K73)/B71</f>
        <v>#DIV/0!</v>
      </c>
      <c r="L71" s="3"/>
      <c r="M71" s="2"/>
      <c r="N71" s="2"/>
      <c r="O71" s="148">
        <f>SUM(T71:V71)</f>
        <v>0</v>
      </c>
      <c r="P71" s="133">
        <f>AA71*O71</f>
        <v>0</v>
      </c>
      <c r="Q71" s="133">
        <f>P71*AB71</f>
        <v>0</v>
      </c>
      <c r="R71" s="134">
        <f>P71*AC71</f>
        <v>0</v>
      </c>
      <c r="S71" s="124"/>
      <c r="T71" s="135">
        <f>AJ71*$B71/100</f>
        <v>0</v>
      </c>
      <c r="U71" s="136">
        <f>AK71*$B71/100</f>
        <v>0</v>
      </c>
      <c r="V71" s="149"/>
      <c r="X71" s="73" t="s">
        <v>40</v>
      </c>
      <c r="Y71" s="371" t="s">
        <v>40</v>
      </c>
      <c r="Z71" s="371" t="s">
        <v>34</v>
      </c>
      <c r="AA71" s="117">
        <f>INDEX($B$208:$P$216,MATCH($Y71,$A$208:$A$216,0),MATCH($Z71,$B$207:$P$207,0))</f>
        <v>5.7166666666666668</v>
      </c>
      <c r="AB71" s="118">
        <v>0.3</v>
      </c>
      <c r="AC71" s="118">
        <v>0.1</v>
      </c>
      <c r="AI71" s="73" t="s">
        <v>156</v>
      </c>
      <c r="AJ71" s="117">
        <f>AJ24</f>
        <v>1.5</v>
      </c>
      <c r="AK71" s="372">
        <v>5</v>
      </c>
    </row>
    <row r="72" spans="1:53" ht="16.5" customHeight="1" x14ac:dyDescent="0.2">
      <c r="A72" s="3"/>
      <c r="B72" s="3"/>
      <c r="C72" s="3"/>
      <c r="D72" s="3"/>
      <c r="E72" s="3"/>
      <c r="F72" s="3"/>
      <c r="G72" s="3"/>
      <c r="H72" s="3"/>
      <c r="I72" s="3"/>
      <c r="J72" s="3"/>
      <c r="K72" s="3"/>
      <c r="L72" s="3"/>
      <c r="M72" s="3"/>
      <c r="N72" s="3"/>
      <c r="O72" s="3"/>
      <c r="P72" s="3"/>
      <c r="Q72" s="3"/>
      <c r="R72" s="3"/>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row>
    <row r="73" spans="1:53" ht="16.5" customHeight="1" x14ac:dyDescent="0.2">
      <c r="A73" s="78" t="s">
        <v>241</v>
      </c>
      <c r="B73" s="151" t="s">
        <v>301</v>
      </c>
      <c r="C73" s="151" t="s">
        <v>301</v>
      </c>
      <c r="D73" s="151" t="s">
        <v>301</v>
      </c>
      <c r="E73" s="70"/>
      <c r="F73" s="151" t="s">
        <v>301</v>
      </c>
      <c r="G73" s="151" t="s">
        <v>301</v>
      </c>
      <c r="H73" s="151" t="s">
        <v>301</v>
      </c>
      <c r="I73" s="151" t="s">
        <v>301</v>
      </c>
      <c r="J73" s="151" t="s">
        <v>301</v>
      </c>
      <c r="K73" s="151"/>
      <c r="L73" s="151"/>
      <c r="M73" s="2"/>
      <c r="N73" s="2"/>
      <c r="O73" s="183"/>
      <c r="P73" s="183"/>
      <c r="Q73" s="183"/>
      <c r="R73" s="183"/>
      <c r="X73" s="73" t="str">
        <f>A73</f>
        <v xml:space="preserve">Güterverkehr, -umschlag (nicht einberechnet, manuelle Eingabe) </v>
      </c>
    </row>
    <row r="74" spans="1:53" customFormat="1" ht="16.5" customHeight="1" x14ac:dyDescent="0.2"/>
    <row r="75" spans="1:53" ht="30.75" customHeight="1" x14ac:dyDescent="0.2">
      <c r="A75" s="2"/>
      <c r="B75" s="2"/>
      <c r="C75" s="2"/>
      <c r="D75" s="2"/>
      <c r="E75" s="2"/>
      <c r="F75" s="2"/>
      <c r="G75" s="2"/>
      <c r="H75" s="2"/>
      <c r="I75" s="2"/>
      <c r="J75" s="2"/>
      <c r="K75" s="2"/>
      <c r="L75" s="2"/>
      <c r="M75" s="2"/>
      <c r="N75" s="2"/>
      <c r="O75" s="89" t="s">
        <v>32</v>
      </c>
      <c r="P75" s="91" t="s">
        <v>201</v>
      </c>
      <c r="Q75" s="91" t="s">
        <v>202</v>
      </c>
      <c r="R75" s="91" t="s">
        <v>203</v>
      </c>
      <c r="T75" s="92" t="s">
        <v>208</v>
      </c>
      <c r="U75" s="92" t="s">
        <v>207</v>
      </c>
      <c r="V75" s="92" t="s">
        <v>179</v>
      </c>
    </row>
    <row r="76" spans="1:53" ht="16.5" customHeight="1" x14ac:dyDescent="0.2">
      <c r="A76" s="78" t="s">
        <v>188</v>
      </c>
      <c r="B76" s="151" t="s">
        <v>301</v>
      </c>
      <c r="C76" s="151" t="s">
        <v>301</v>
      </c>
      <c r="D76" s="151" t="s">
        <v>301</v>
      </c>
      <c r="E76" s="151"/>
      <c r="F76" s="151" t="s">
        <v>301</v>
      </c>
      <c r="G76" s="151" t="s">
        <v>301</v>
      </c>
      <c r="H76" s="151" t="s">
        <v>301</v>
      </c>
      <c r="I76" s="151" t="s">
        <v>301</v>
      </c>
      <c r="J76" s="151" t="s">
        <v>301</v>
      </c>
      <c r="K76" s="151"/>
      <c r="L76" s="151"/>
      <c r="M76" s="2"/>
      <c r="N76" s="2"/>
      <c r="O76" s="152">
        <f>SUM(O14:O73)</f>
        <v>0</v>
      </c>
      <c r="P76" s="152">
        <f>SUM(P14:P73)</f>
        <v>0</v>
      </c>
      <c r="Q76" s="152">
        <f>SUM(Q14:Q73)</f>
        <v>0</v>
      </c>
      <c r="R76" s="152">
        <f>SUM(R14:R73)</f>
        <v>0</v>
      </c>
      <c r="T76" s="153">
        <f>SUM(T14:T73)</f>
        <v>0</v>
      </c>
      <c r="U76" s="153">
        <f>SUM(U14:U73)</f>
        <v>0</v>
      </c>
      <c r="V76" s="153">
        <f>SUM(V14:V73)</f>
        <v>0</v>
      </c>
    </row>
    <row r="77" spans="1:53" ht="16.5" customHeight="1" x14ac:dyDescent="0.2">
      <c r="A77" s="2"/>
      <c r="B77" s="2"/>
      <c r="C77" s="2"/>
      <c r="D77" s="2"/>
      <c r="E77" s="2"/>
      <c r="F77" s="2"/>
      <c r="G77" s="2"/>
      <c r="H77" s="2"/>
      <c r="I77" s="2"/>
      <c r="J77" s="2"/>
      <c r="K77" s="2"/>
      <c r="L77" s="2"/>
      <c r="M77" s="2" t="s">
        <v>237</v>
      </c>
      <c r="N77" s="2"/>
      <c r="O77" s="154" t="e">
        <f>O73/O76</f>
        <v>#DIV/0!</v>
      </c>
      <c r="P77" s="154" t="e">
        <f>P73/P76</f>
        <v>#DIV/0!</v>
      </c>
      <c r="Q77" s="154" t="e">
        <f>Q73/Q76</f>
        <v>#DIV/0!</v>
      </c>
      <c r="R77" s="154" t="e">
        <f>R73/R76</f>
        <v>#DIV/0!</v>
      </c>
    </row>
    <row r="78" spans="1:53" ht="16.5" customHeight="1" x14ac:dyDescent="0.2">
      <c r="A78" s="2"/>
      <c r="B78" s="2"/>
      <c r="C78" s="2"/>
      <c r="D78" s="2"/>
      <c r="E78" s="2"/>
      <c r="F78" s="2"/>
      <c r="G78" s="2"/>
      <c r="H78" s="2"/>
      <c r="I78" s="2"/>
      <c r="J78" s="2"/>
      <c r="K78" s="2"/>
      <c r="L78" s="2"/>
      <c r="M78" s="2"/>
      <c r="N78" s="2"/>
      <c r="O78" s="2"/>
      <c r="P78" s="2"/>
      <c r="Q78" s="2"/>
      <c r="R78" s="2"/>
    </row>
    <row r="79" spans="1:53" ht="49.5" customHeight="1" x14ac:dyDescent="0.2">
      <c r="A79" s="78" t="s">
        <v>218</v>
      </c>
      <c r="B79" s="91" t="s">
        <v>283</v>
      </c>
      <c r="C79" s="91" t="s">
        <v>186</v>
      </c>
      <c r="D79" s="91" t="s">
        <v>280</v>
      </c>
      <c r="E79" s="155"/>
      <c r="F79" s="155"/>
      <c r="G79" s="155"/>
      <c r="H79" s="155"/>
      <c r="I79" s="155"/>
      <c r="J79" s="155"/>
      <c r="K79" s="155"/>
      <c r="L79" s="155"/>
      <c r="M79" s="2"/>
      <c r="N79" s="2"/>
      <c r="O79" s="2"/>
      <c r="P79" s="2"/>
      <c r="Q79" s="2"/>
      <c r="R79" s="2"/>
    </row>
    <row r="80" spans="1:53" ht="16.5" customHeight="1" x14ac:dyDescent="0.2">
      <c r="A80" s="78" t="s">
        <v>298</v>
      </c>
      <c r="B80" s="110">
        <f>SUM(B17:B71)</f>
        <v>0</v>
      </c>
      <c r="C80" s="110">
        <f>SUM(C17:C71)</f>
        <v>0</v>
      </c>
      <c r="D80" s="110">
        <f>SUM(D17:D71)</f>
        <v>0</v>
      </c>
      <c r="E80" s="110"/>
      <c r="F80" s="110"/>
      <c r="G80" s="110"/>
      <c r="H80" s="110"/>
      <c r="I80" s="110"/>
      <c r="J80" s="110"/>
      <c r="K80" s="110"/>
      <c r="L80" s="110"/>
      <c r="M80" s="2"/>
      <c r="N80" s="2"/>
      <c r="O80" s="2"/>
      <c r="P80" s="2"/>
      <c r="Q80" s="2"/>
      <c r="R80" s="2"/>
    </row>
    <row r="81" spans="1:26" ht="16.5" customHeight="1" x14ac:dyDescent="0.2">
      <c r="A81" s="78" t="s">
        <v>297</v>
      </c>
      <c r="B81" s="110">
        <f>IF(B14&gt;0,B14,B15)</f>
        <v>0</v>
      </c>
    </row>
    <row r="82" spans="1:26" ht="16.5" hidden="1" customHeight="1" x14ac:dyDescent="0.2"/>
    <row r="83" spans="1:26" ht="16.5" hidden="1" customHeight="1" x14ac:dyDescent="0.2"/>
    <row r="84" spans="1:26" ht="16.5" hidden="1" customHeight="1" x14ac:dyDescent="0.2"/>
    <row r="85" spans="1:26" ht="16.5" hidden="1" customHeight="1" x14ac:dyDescent="0.2"/>
    <row r="86" spans="1:26" ht="16.5" hidden="1" customHeight="1" x14ac:dyDescent="0.2">
      <c r="Y86" s="156" t="s">
        <v>195</v>
      </c>
      <c r="Z86" s="156" t="s">
        <v>194</v>
      </c>
    </row>
    <row r="87" spans="1:26" ht="16.5" hidden="1" customHeight="1" x14ac:dyDescent="0.2">
      <c r="Y87" s="157" t="s">
        <v>8</v>
      </c>
      <c r="Z87" s="157" t="s">
        <v>42</v>
      </c>
    </row>
    <row r="88" spans="1:26" ht="16.5" hidden="1" customHeight="1" x14ac:dyDescent="0.2">
      <c r="Y88" s="157" t="s">
        <v>37</v>
      </c>
      <c r="Z88" s="157" t="s">
        <v>43</v>
      </c>
    </row>
    <row r="89" spans="1:26" ht="16.5" hidden="1" customHeight="1" x14ac:dyDescent="0.2">
      <c r="Y89" s="157" t="s">
        <v>190</v>
      </c>
      <c r="Z89" s="157" t="s">
        <v>44</v>
      </c>
    </row>
    <row r="90" spans="1:26" ht="16.5" hidden="1" customHeight="1" x14ac:dyDescent="0.2">
      <c r="Y90" s="157" t="s">
        <v>191</v>
      </c>
      <c r="Z90" s="157" t="s">
        <v>45</v>
      </c>
    </row>
    <row r="91" spans="1:26" ht="16.5" hidden="1" customHeight="1" x14ac:dyDescent="0.2">
      <c r="A91" s="87" t="s">
        <v>214</v>
      </c>
      <c r="Y91" s="157" t="str">
        <f>A216</f>
        <v>Multiplexkino</v>
      </c>
      <c r="Z91" s="157" t="s">
        <v>46</v>
      </c>
    </row>
    <row r="92" spans="1:26" ht="16.5" hidden="1" customHeight="1" x14ac:dyDescent="0.2">
      <c r="A92" s="87" t="s">
        <v>215</v>
      </c>
      <c r="B92" s="87" t="s">
        <v>10</v>
      </c>
      <c r="C92" s="87" t="s">
        <v>19</v>
      </c>
      <c r="D92" s="87" t="s">
        <v>17</v>
      </c>
      <c r="E92" s="87"/>
      <c r="F92" s="87"/>
      <c r="G92" s="87"/>
      <c r="H92" s="87"/>
      <c r="I92" s="87"/>
      <c r="J92" s="87"/>
      <c r="K92" s="87"/>
      <c r="L92" s="87"/>
      <c r="M92" s="87" t="s">
        <v>18</v>
      </c>
      <c r="N92" s="87"/>
      <c r="Y92" s="157" t="s">
        <v>38</v>
      </c>
      <c r="Z92" s="157" t="s">
        <v>34</v>
      </c>
    </row>
    <row r="93" spans="1:26" ht="16.5" hidden="1" customHeight="1" x14ac:dyDescent="0.2">
      <c r="A93" s="87" t="s">
        <v>216</v>
      </c>
      <c r="B93" s="124">
        <f>O76</f>
        <v>0</v>
      </c>
      <c r="C93" s="124">
        <f>P76</f>
        <v>0</v>
      </c>
      <c r="D93" s="124">
        <f>Q76</f>
        <v>0</v>
      </c>
      <c r="E93" s="124"/>
      <c r="F93" s="124"/>
      <c r="G93" s="124"/>
      <c r="H93" s="124"/>
      <c r="I93" s="124"/>
      <c r="J93" s="124"/>
      <c r="K93" s="124"/>
      <c r="L93" s="124"/>
      <c r="M93" s="124">
        <f>R76</f>
        <v>0</v>
      </c>
      <c r="N93" s="124"/>
      <c r="Y93" s="157" t="s">
        <v>39</v>
      </c>
    </row>
    <row r="94" spans="1:26" ht="16.5" hidden="1" customHeight="1" x14ac:dyDescent="0.2">
      <c r="Y94" s="157" t="s">
        <v>40</v>
      </c>
    </row>
    <row r="95" spans="1:26" ht="16.5" hidden="1" customHeight="1" x14ac:dyDescent="0.2">
      <c r="A95" s="87" t="s">
        <v>217</v>
      </c>
      <c r="B95" s="124">
        <f>B93*$O$95</f>
        <v>0</v>
      </c>
      <c r="C95" s="124">
        <f>C93*$O$95</f>
        <v>0</v>
      </c>
      <c r="D95" s="124">
        <f>D93*$O$95</f>
        <v>0</v>
      </c>
      <c r="E95" s="124"/>
      <c r="F95" s="124"/>
      <c r="G95" s="124"/>
      <c r="H95" s="124"/>
      <c r="I95" s="124"/>
      <c r="J95" s="124"/>
      <c r="K95" s="124"/>
      <c r="L95" s="124"/>
      <c r="M95" s="124">
        <f>M93*$O$95</f>
        <v>0</v>
      </c>
      <c r="N95" s="124"/>
      <c r="O95" s="118">
        <f>Verkehrsrelevanz!B43</f>
        <v>0.65</v>
      </c>
      <c r="Y95" s="157" t="s">
        <v>41</v>
      </c>
    </row>
    <row r="96" spans="1:26" ht="16.5" hidden="1" customHeight="1" x14ac:dyDescent="0.2"/>
    <row r="97" ht="16.5" hidden="1" customHeight="1" x14ac:dyDescent="0.2"/>
    <row r="98" ht="16.5" hidden="1" customHeight="1" x14ac:dyDescent="0.2"/>
    <row r="99" ht="16.5" hidden="1" customHeight="1" x14ac:dyDescent="0.2"/>
    <row r="100" ht="16.5" hidden="1" customHeight="1" x14ac:dyDescent="0.2"/>
    <row r="101" ht="16.5" hidden="1" customHeight="1" x14ac:dyDescent="0.2"/>
    <row r="102" ht="16.5" hidden="1" customHeight="1" x14ac:dyDescent="0.2"/>
    <row r="103" ht="16.5" hidden="1" customHeight="1" x14ac:dyDescent="0.2"/>
    <row r="104" ht="16.5" hidden="1" customHeight="1" x14ac:dyDescent="0.2"/>
    <row r="105" ht="16.5" hidden="1" customHeight="1" x14ac:dyDescent="0.2"/>
    <row r="106" ht="16.5" hidden="1" customHeight="1" x14ac:dyDescent="0.2"/>
    <row r="107" ht="16.5" hidden="1" customHeight="1" x14ac:dyDescent="0.2"/>
    <row r="108" ht="16.5" hidden="1" customHeight="1" x14ac:dyDescent="0.2"/>
    <row r="109" ht="16.5" hidden="1" customHeight="1" x14ac:dyDescent="0.2"/>
    <row r="110" ht="16.5" hidden="1" customHeight="1" x14ac:dyDescent="0.2"/>
    <row r="111" ht="16.5" hidden="1" customHeight="1" x14ac:dyDescent="0.2"/>
    <row r="112" ht="16.5" hidden="1" customHeight="1" x14ac:dyDescent="0.2"/>
    <row r="113" ht="16.5" hidden="1" customHeight="1" x14ac:dyDescent="0.2"/>
    <row r="114" ht="16.5" hidden="1" customHeight="1" x14ac:dyDescent="0.2"/>
    <row r="115" ht="16.5" hidden="1" customHeight="1" x14ac:dyDescent="0.2"/>
    <row r="116" ht="16.5" hidden="1" customHeight="1" x14ac:dyDescent="0.2"/>
    <row r="117" ht="16.5" hidden="1" customHeight="1" x14ac:dyDescent="0.2"/>
    <row r="118" ht="16.5" hidden="1" customHeight="1" x14ac:dyDescent="0.2"/>
    <row r="119" ht="16.5" hidden="1" customHeight="1" x14ac:dyDescent="0.2"/>
    <row r="120" ht="16.5" hidden="1" customHeight="1" x14ac:dyDescent="0.2"/>
    <row r="121" ht="16.5" hidden="1" customHeight="1" x14ac:dyDescent="0.2"/>
    <row r="122" ht="16.5" hidden="1" customHeight="1" x14ac:dyDescent="0.2"/>
    <row r="123" ht="16.5" hidden="1" customHeight="1" x14ac:dyDescent="0.2"/>
    <row r="124" ht="16.5" hidden="1" customHeight="1" x14ac:dyDescent="0.2"/>
    <row r="125" ht="16.5" hidden="1" customHeight="1" x14ac:dyDescent="0.2"/>
    <row r="126" ht="16.5" hidden="1" customHeight="1" x14ac:dyDescent="0.2"/>
    <row r="127" ht="16.5" hidden="1" customHeight="1" x14ac:dyDescent="0.2"/>
    <row r="128" ht="16.5" hidden="1" customHeight="1" x14ac:dyDescent="0.2"/>
    <row r="129" spans="28:30" ht="16.5" hidden="1" customHeight="1" x14ac:dyDescent="0.2"/>
    <row r="130" spans="28:30" ht="16.5" hidden="1" customHeight="1" x14ac:dyDescent="0.2"/>
    <row r="131" spans="28:30" ht="16.5" hidden="1" customHeight="1" x14ac:dyDescent="0.2"/>
    <row r="132" spans="28:30" ht="16.5" hidden="1" customHeight="1" x14ac:dyDescent="0.2"/>
    <row r="133" spans="28:30" ht="16.5" hidden="1" customHeight="1" x14ac:dyDescent="0.2"/>
    <row r="134" spans="28:30" ht="16.5" hidden="1" customHeight="1" x14ac:dyDescent="0.2"/>
    <row r="135" spans="28:30" ht="16.5" hidden="1" customHeight="1" x14ac:dyDescent="0.2"/>
    <row r="136" spans="28:30" ht="16.5" hidden="1" customHeight="1" x14ac:dyDescent="0.2"/>
    <row r="137" spans="28:30" ht="16.5" hidden="1" customHeight="1" x14ac:dyDescent="0.2"/>
    <row r="138" spans="28:30" ht="16.5" hidden="1" customHeight="1" x14ac:dyDescent="0.2">
      <c r="AB138" s="158"/>
      <c r="AC138" s="158"/>
      <c r="AD138" s="158"/>
    </row>
    <row r="139" spans="28:30" ht="16.5" hidden="1" customHeight="1" x14ac:dyDescent="0.2">
      <c r="AB139" s="158"/>
      <c r="AC139" s="158"/>
      <c r="AD139" s="158"/>
    </row>
    <row r="140" spans="28:30" ht="16.5" hidden="1" customHeight="1" x14ac:dyDescent="0.2">
      <c r="AB140" s="158"/>
      <c r="AC140" s="158"/>
      <c r="AD140" s="158"/>
    </row>
    <row r="141" spans="28:30" ht="16.5" hidden="1" customHeight="1" x14ac:dyDescent="0.2">
      <c r="AB141" s="158"/>
      <c r="AC141" s="158"/>
      <c r="AD141" s="158"/>
    </row>
    <row r="142" spans="28:30" ht="16.5" hidden="1" customHeight="1" x14ac:dyDescent="0.2">
      <c r="AB142" s="158"/>
      <c r="AC142" s="158"/>
      <c r="AD142" s="158"/>
    </row>
    <row r="143" spans="28:30" ht="16.5" hidden="1" customHeight="1" x14ac:dyDescent="0.2">
      <c r="AB143" s="158"/>
      <c r="AC143" s="158"/>
      <c r="AD143" s="158"/>
    </row>
    <row r="144" spans="28:30" ht="16.5" hidden="1" customHeight="1" x14ac:dyDescent="0.2">
      <c r="AB144" s="158"/>
      <c r="AC144" s="158"/>
      <c r="AD144" s="158"/>
    </row>
    <row r="145" spans="28:30" ht="16.5" hidden="1" customHeight="1" x14ac:dyDescent="0.2">
      <c r="AB145" s="158"/>
      <c r="AC145" s="158"/>
      <c r="AD145" s="158"/>
    </row>
    <row r="146" spans="28:30" ht="16.5" hidden="1" customHeight="1" x14ac:dyDescent="0.2">
      <c r="AB146" s="158"/>
      <c r="AC146" s="158"/>
      <c r="AD146" s="158"/>
    </row>
    <row r="147" spans="28:30" ht="16.5" hidden="1" customHeight="1" x14ac:dyDescent="0.2">
      <c r="AB147" s="158"/>
      <c r="AC147" s="158"/>
      <c r="AD147" s="158"/>
    </row>
    <row r="148" spans="28:30" ht="16.5" hidden="1" customHeight="1" x14ac:dyDescent="0.2">
      <c r="AB148" s="158"/>
      <c r="AC148" s="158"/>
      <c r="AD148" s="158"/>
    </row>
    <row r="149" spans="28:30" ht="16.5" hidden="1" customHeight="1" x14ac:dyDescent="0.2">
      <c r="AB149" s="158"/>
      <c r="AC149" s="158"/>
      <c r="AD149" s="158"/>
    </row>
    <row r="150" spans="28:30" ht="16.5" hidden="1" customHeight="1" x14ac:dyDescent="0.2">
      <c r="AB150" s="158"/>
      <c r="AC150" s="158"/>
      <c r="AD150" s="158"/>
    </row>
    <row r="151" spans="28:30" ht="16.5" hidden="1" customHeight="1" x14ac:dyDescent="0.2">
      <c r="AB151" s="158"/>
      <c r="AC151" s="158"/>
      <c r="AD151" s="158"/>
    </row>
    <row r="152" spans="28:30" ht="16.5" hidden="1" customHeight="1" x14ac:dyDescent="0.2">
      <c r="AB152" s="158"/>
      <c r="AC152" s="158"/>
      <c r="AD152" s="158"/>
    </row>
    <row r="153" spans="28:30" ht="16.5" hidden="1" customHeight="1" x14ac:dyDescent="0.2">
      <c r="AB153" s="158"/>
      <c r="AC153" s="158"/>
      <c r="AD153" s="158"/>
    </row>
    <row r="154" spans="28:30" ht="16.5" hidden="1" customHeight="1" x14ac:dyDescent="0.2">
      <c r="AB154" s="158"/>
      <c r="AC154" s="158"/>
      <c r="AD154" s="158"/>
    </row>
    <row r="155" spans="28:30" ht="16.5" hidden="1" customHeight="1" x14ac:dyDescent="0.2">
      <c r="AB155" s="158"/>
      <c r="AC155" s="158"/>
      <c r="AD155" s="158"/>
    </row>
    <row r="156" spans="28:30" ht="16.5" hidden="1" customHeight="1" x14ac:dyDescent="0.2">
      <c r="AB156" s="158"/>
      <c r="AC156" s="158"/>
      <c r="AD156" s="158"/>
    </row>
    <row r="157" spans="28:30" ht="16.5" hidden="1" customHeight="1" x14ac:dyDescent="0.2"/>
    <row r="158" spans="28:30" ht="16.5" hidden="1" customHeight="1" x14ac:dyDescent="0.2"/>
    <row r="159" spans="28:30" ht="16.5" hidden="1" customHeight="1" x14ac:dyDescent="0.2"/>
    <row r="160" spans="28:30" ht="16.5" hidden="1" customHeight="1" x14ac:dyDescent="0.2"/>
    <row r="161" ht="16.5" hidden="1" customHeight="1" x14ac:dyDescent="0.2"/>
    <row r="162" ht="16.5" hidden="1" customHeight="1" x14ac:dyDescent="0.2"/>
    <row r="163" ht="16.5" hidden="1" customHeight="1" x14ac:dyDescent="0.2"/>
    <row r="164" ht="16.5" hidden="1" customHeight="1" x14ac:dyDescent="0.2"/>
    <row r="165" ht="16.5" hidden="1" customHeight="1" x14ac:dyDescent="0.2"/>
    <row r="166" ht="16.5" hidden="1" customHeight="1" x14ac:dyDescent="0.2"/>
    <row r="167" ht="16.5" hidden="1" customHeight="1" x14ac:dyDescent="0.2"/>
    <row r="168" ht="16.5" hidden="1" customHeight="1" x14ac:dyDescent="0.2"/>
    <row r="169" ht="16.5" hidden="1" customHeight="1" x14ac:dyDescent="0.2"/>
    <row r="170" ht="16.5" hidden="1" customHeight="1" x14ac:dyDescent="0.2"/>
    <row r="171" ht="16.5" hidden="1" customHeight="1" x14ac:dyDescent="0.2"/>
    <row r="172" ht="16.5" hidden="1" customHeight="1" x14ac:dyDescent="0.2"/>
    <row r="173" ht="16.5" hidden="1" customHeight="1" x14ac:dyDescent="0.2"/>
    <row r="174" ht="16.5" hidden="1" customHeight="1" x14ac:dyDescent="0.2"/>
    <row r="175" ht="16.5" hidden="1" customHeight="1" x14ac:dyDescent="0.2"/>
    <row r="176" ht="16.5" hidden="1" customHeight="1" x14ac:dyDescent="0.2"/>
    <row r="177" spans="1:12" ht="16.5" hidden="1" customHeight="1" x14ac:dyDescent="0.2"/>
    <row r="178" spans="1:12" ht="16.5" hidden="1" customHeight="1" x14ac:dyDescent="0.2"/>
    <row r="179" spans="1:12" ht="16.5" hidden="1" customHeight="1" x14ac:dyDescent="0.2"/>
    <row r="180" spans="1:12" ht="16.5" hidden="1" customHeight="1" x14ac:dyDescent="0.2"/>
    <row r="181" spans="1:12" ht="16.5" hidden="1" customHeight="1" x14ac:dyDescent="0.2"/>
    <row r="182" spans="1:12" ht="16.5" hidden="1" customHeight="1" x14ac:dyDescent="0.2"/>
    <row r="183" spans="1:12" ht="16.5" hidden="1" customHeight="1" x14ac:dyDescent="0.2"/>
    <row r="184" spans="1:12" ht="16.5" hidden="1" customHeight="1" x14ac:dyDescent="0.2"/>
    <row r="185" spans="1:12" ht="16.5" hidden="1" customHeight="1" x14ac:dyDescent="0.2"/>
    <row r="186" spans="1:12" ht="16.5" hidden="1" customHeight="1" x14ac:dyDescent="0.2"/>
    <row r="187" spans="1:12" ht="16.5" hidden="1" customHeight="1" x14ac:dyDescent="0.2">
      <c r="B187" s="87" t="s">
        <v>75</v>
      </c>
    </row>
    <row r="188" spans="1:12" ht="16.5" hidden="1" customHeight="1" x14ac:dyDescent="0.2">
      <c r="B188" s="159" t="s">
        <v>74</v>
      </c>
      <c r="C188" s="159"/>
      <c r="D188" s="93" t="s">
        <v>76</v>
      </c>
      <c r="E188" s="87"/>
      <c r="F188" s="87"/>
      <c r="G188" s="87"/>
      <c r="H188" s="87"/>
      <c r="I188" s="87"/>
      <c r="J188" s="87"/>
      <c r="K188" s="87"/>
      <c r="L188" s="87"/>
    </row>
    <row r="189" spans="1:12" ht="16.5" hidden="1" customHeight="1" x14ac:dyDescent="0.2">
      <c r="B189" s="73" t="s">
        <v>73</v>
      </c>
      <c r="C189" s="73" t="s">
        <v>72</v>
      </c>
      <c r="D189" s="73" t="s">
        <v>72</v>
      </c>
    </row>
    <row r="190" spans="1:12" ht="16.5" hidden="1" customHeight="1" x14ac:dyDescent="0.2">
      <c r="B190" s="87" t="s">
        <v>71</v>
      </c>
      <c r="C190" s="87" t="s">
        <v>70</v>
      </c>
      <c r="D190" s="87" t="s">
        <v>70</v>
      </c>
      <c r="E190" s="87"/>
      <c r="F190" s="87"/>
      <c r="G190" s="87"/>
      <c r="H190" s="87"/>
      <c r="I190" s="87"/>
      <c r="J190" s="87"/>
      <c r="K190" s="87"/>
      <c r="L190" s="87"/>
    </row>
    <row r="191" spans="1:12" ht="16.5" hidden="1" customHeight="1" x14ac:dyDescent="0.2">
      <c r="A191" s="87" t="s">
        <v>8</v>
      </c>
      <c r="B191" s="160">
        <v>0.15</v>
      </c>
      <c r="C191" s="160">
        <v>0.15</v>
      </c>
      <c r="D191" s="161"/>
      <c r="E191" s="161"/>
      <c r="F191" s="161"/>
      <c r="G191" s="161"/>
      <c r="H191" s="161"/>
      <c r="I191" s="161"/>
      <c r="J191" s="161"/>
      <c r="K191" s="161"/>
      <c r="L191" s="161"/>
    </row>
    <row r="192" spans="1:12" ht="16.5" hidden="1" customHeight="1" x14ac:dyDescent="0.2">
      <c r="A192" s="87" t="s">
        <v>37</v>
      </c>
      <c r="B192" s="160">
        <v>0.05</v>
      </c>
      <c r="C192" s="160">
        <v>0.1</v>
      </c>
      <c r="D192" s="160"/>
      <c r="E192" s="160"/>
      <c r="F192" s="160"/>
      <c r="G192" s="160"/>
      <c r="H192" s="160"/>
      <c r="I192" s="160"/>
      <c r="J192" s="160"/>
      <c r="K192" s="160"/>
      <c r="L192" s="160"/>
    </row>
    <row r="193" spans="1:16" ht="16.5" hidden="1" customHeight="1" x14ac:dyDescent="0.2">
      <c r="A193" s="87" t="s">
        <v>38</v>
      </c>
      <c r="B193" s="160">
        <v>0.01</v>
      </c>
      <c r="C193" s="160">
        <v>0.15</v>
      </c>
      <c r="D193" s="160">
        <v>0.15</v>
      </c>
      <c r="E193" s="160"/>
      <c r="F193" s="160"/>
      <c r="G193" s="160"/>
      <c r="H193" s="160"/>
      <c r="I193" s="160"/>
      <c r="J193" s="160"/>
      <c r="K193" s="160"/>
      <c r="L193" s="160"/>
    </row>
    <row r="194" spans="1:16" ht="16.5" hidden="1" customHeight="1" x14ac:dyDescent="0.2">
      <c r="A194" s="87" t="s">
        <v>39</v>
      </c>
      <c r="B194" s="160">
        <v>0.05</v>
      </c>
      <c r="C194" s="160">
        <v>0.2</v>
      </c>
      <c r="D194" s="160">
        <v>0.15</v>
      </c>
      <c r="E194" s="160"/>
      <c r="F194" s="160"/>
      <c r="G194" s="160"/>
      <c r="H194" s="160"/>
      <c r="I194" s="160"/>
      <c r="J194" s="160"/>
      <c r="K194" s="160"/>
      <c r="L194" s="160"/>
    </row>
    <row r="195" spans="1:16" ht="16.5" hidden="1" customHeight="1" x14ac:dyDescent="0.2">
      <c r="A195" s="87" t="s">
        <v>40</v>
      </c>
      <c r="B195" s="160">
        <v>0.05</v>
      </c>
      <c r="C195" s="160">
        <v>0.2</v>
      </c>
      <c r="D195" s="160">
        <v>0.15</v>
      </c>
      <c r="E195" s="160"/>
      <c r="F195" s="160"/>
      <c r="G195" s="160"/>
      <c r="H195" s="160"/>
      <c r="I195" s="160"/>
      <c r="J195" s="160"/>
      <c r="K195" s="160"/>
      <c r="L195" s="160"/>
    </row>
    <row r="196" spans="1:16" ht="16.5" hidden="1" customHeight="1" x14ac:dyDescent="0.2">
      <c r="A196" s="87" t="s">
        <v>41</v>
      </c>
      <c r="B196" s="160">
        <v>0.05</v>
      </c>
      <c r="C196" s="160">
        <v>0.2</v>
      </c>
      <c r="D196" s="160">
        <v>0.15</v>
      </c>
      <c r="E196" s="160"/>
      <c r="F196" s="160"/>
      <c r="G196" s="160"/>
      <c r="H196" s="160"/>
      <c r="I196" s="160"/>
      <c r="J196" s="160"/>
      <c r="K196" s="160"/>
      <c r="L196" s="160"/>
    </row>
    <row r="197" spans="1:16" ht="16.5" hidden="1" customHeight="1" x14ac:dyDescent="0.2">
      <c r="A197" s="87" t="s">
        <v>21</v>
      </c>
      <c r="B197" s="160">
        <v>0.1</v>
      </c>
      <c r="C197" s="160">
        <v>0.3</v>
      </c>
      <c r="D197" s="161"/>
      <c r="E197" s="161"/>
      <c r="F197" s="161"/>
      <c r="G197" s="161"/>
      <c r="H197" s="161"/>
      <c r="I197" s="161"/>
      <c r="J197" s="161"/>
      <c r="K197" s="161"/>
      <c r="L197" s="161"/>
    </row>
    <row r="198" spans="1:16" ht="16.5" hidden="1" customHeight="1" x14ac:dyDescent="0.2"/>
    <row r="199" spans="1:16" ht="16.5" hidden="1" customHeight="1" x14ac:dyDescent="0.2">
      <c r="A199" s="73" t="s">
        <v>77</v>
      </c>
    </row>
    <row r="200" spans="1:16" ht="16.5" hidden="1" customHeight="1" x14ac:dyDescent="0.2"/>
    <row r="201" spans="1:16" ht="16.5" hidden="1" customHeight="1" x14ac:dyDescent="0.2"/>
    <row r="202" spans="1:16" ht="16.5" hidden="1" customHeight="1" x14ac:dyDescent="0.2"/>
    <row r="203" spans="1:16" ht="16.5" hidden="1" customHeight="1" x14ac:dyDescent="0.2"/>
    <row r="204" spans="1:16" ht="16.5" hidden="1" customHeight="1" x14ac:dyDescent="0.2"/>
    <row r="205" spans="1:16" ht="16.5" hidden="1" customHeight="1" x14ac:dyDescent="0.2"/>
    <row r="206" spans="1:16" ht="16.5" hidden="1" customHeight="1" x14ac:dyDescent="0.2"/>
    <row r="207" spans="1:16" ht="16.5" hidden="1" customHeight="1" x14ac:dyDescent="0.2">
      <c r="A207" s="162" t="s">
        <v>19</v>
      </c>
      <c r="B207" s="163" t="s">
        <v>42</v>
      </c>
      <c r="C207" s="163" t="s">
        <v>43</v>
      </c>
      <c r="D207" s="163" t="s">
        <v>44</v>
      </c>
      <c r="E207" s="163"/>
      <c r="F207" s="163"/>
      <c r="G207" s="163"/>
      <c r="H207" s="163"/>
      <c r="I207" s="163"/>
      <c r="J207" s="163"/>
      <c r="K207" s="163"/>
      <c r="L207" s="163"/>
      <c r="M207" s="163" t="s">
        <v>45</v>
      </c>
      <c r="N207" s="163"/>
      <c r="O207" s="163" t="s">
        <v>46</v>
      </c>
      <c r="P207" s="164" t="s">
        <v>34</v>
      </c>
    </row>
    <row r="208" spans="1:16" ht="16.5" hidden="1" customHeight="1" x14ac:dyDescent="0.2">
      <c r="A208" s="165" t="s">
        <v>8</v>
      </c>
      <c r="B208" s="117">
        <f t="shared" ref="B208:P208" si="16">C233</f>
        <v>2.2000000000000002</v>
      </c>
      <c r="C208" s="117">
        <f t="shared" si="16"/>
        <v>2.5</v>
      </c>
      <c r="D208" s="117">
        <f>M233</f>
        <v>2.6</v>
      </c>
      <c r="E208" s="117"/>
      <c r="F208" s="117"/>
      <c r="G208" s="117"/>
      <c r="H208" s="117"/>
      <c r="I208" s="117"/>
      <c r="J208" s="117"/>
      <c r="K208" s="117"/>
      <c r="L208" s="117"/>
      <c r="M208" s="117">
        <f>O233</f>
        <v>2.7</v>
      </c>
      <c r="N208" s="117"/>
      <c r="O208" s="117">
        <f t="shared" si="16"/>
        <v>3</v>
      </c>
      <c r="P208" s="166">
        <f t="shared" si="16"/>
        <v>2.6</v>
      </c>
    </row>
    <row r="209" spans="1:16" ht="16.5" hidden="1" customHeight="1" x14ac:dyDescent="0.2">
      <c r="A209" s="165" t="str">
        <f>A234</f>
        <v>Dienstleistungen</v>
      </c>
      <c r="B209" s="117">
        <f t="shared" ref="B209:P209" si="17">C236</f>
        <v>1.8</v>
      </c>
      <c r="C209" s="117">
        <f t="shared" si="17"/>
        <v>2.2000000000000002</v>
      </c>
      <c r="D209" s="117">
        <f>M236</f>
        <v>2.7</v>
      </c>
      <c r="E209" s="117"/>
      <c r="F209" s="117"/>
      <c r="G209" s="117"/>
      <c r="H209" s="117"/>
      <c r="I209" s="117"/>
      <c r="J209" s="117"/>
      <c r="K209" s="117"/>
      <c r="L209" s="117"/>
      <c r="M209" s="117">
        <f>O236</f>
        <v>4.0999999999999996</v>
      </c>
      <c r="N209" s="117"/>
      <c r="O209" s="117">
        <f t="shared" si="17"/>
        <v>7.4</v>
      </c>
      <c r="P209" s="166">
        <f t="shared" si="17"/>
        <v>3.3</v>
      </c>
    </row>
    <row r="210" spans="1:16" ht="16.5" hidden="1" customHeight="1" x14ac:dyDescent="0.2">
      <c r="A210" s="165" t="str">
        <f>A237</f>
        <v>Einzelhandel Lebensmittel</v>
      </c>
      <c r="B210" s="117">
        <f t="shared" ref="B210:P210" si="18">C239</f>
        <v>4.8</v>
      </c>
      <c r="C210" s="117">
        <f t="shared" si="18"/>
        <v>6.7</v>
      </c>
      <c r="D210" s="117">
        <f>M239</f>
        <v>8.6</v>
      </c>
      <c r="E210" s="117"/>
      <c r="F210" s="117"/>
      <c r="G210" s="117"/>
      <c r="H210" s="117"/>
      <c r="I210" s="117"/>
      <c r="J210" s="117"/>
      <c r="K210" s="117"/>
      <c r="L210" s="117"/>
      <c r="M210" s="117">
        <f>O239</f>
        <v>19</v>
      </c>
      <c r="N210" s="117"/>
      <c r="O210" s="117">
        <f t="shared" si="18"/>
        <v>29.4</v>
      </c>
      <c r="P210" s="166">
        <f t="shared" si="18"/>
        <v>14.3</v>
      </c>
    </row>
    <row r="211" spans="1:16" ht="16.5" hidden="1" customHeight="1" x14ac:dyDescent="0.2">
      <c r="A211" s="165" t="str">
        <f>A243</f>
        <v>Food / Non-Food</v>
      </c>
      <c r="B211" s="117">
        <f t="shared" ref="B211:P211" si="19">C245*4/6+C246*1/6+C247*1/6</f>
        <v>4.1500000000000004</v>
      </c>
      <c r="C211" s="117">
        <f t="shared" si="19"/>
        <v>5.3166666666666664</v>
      </c>
      <c r="D211" s="117">
        <f>M245*4/6+M246*1/6+M247*1/6</f>
        <v>6.416666666666667</v>
      </c>
      <c r="E211" s="117"/>
      <c r="F211" s="117"/>
      <c r="G211" s="117"/>
      <c r="H211" s="117"/>
      <c r="I211" s="117"/>
      <c r="J211" s="117"/>
      <c r="K211" s="117"/>
      <c r="L211" s="117"/>
      <c r="M211" s="117">
        <f>O245*4/6+O246*1/6+O247*1/6</f>
        <v>8.5666666666666664</v>
      </c>
      <c r="N211" s="117"/>
      <c r="O211" s="117">
        <f t="shared" si="19"/>
        <v>10.733333333333333</v>
      </c>
      <c r="P211" s="166">
        <f t="shared" si="19"/>
        <v>7.0833333333333339</v>
      </c>
    </row>
    <row r="212" spans="1:16" ht="16.5" hidden="1" customHeight="1" x14ac:dyDescent="0.2">
      <c r="A212" s="165" t="str">
        <f>A248</f>
        <v>Fachmarkt</v>
      </c>
      <c r="B212" s="117">
        <f t="shared" ref="B212:P212" si="20">C250*4/6+C251*1/6+C252*1/6</f>
        <v>2.2000000000000002</v>
      </c>
      <c r="C212" s="117">
        <f t="shared" si="20"/>
        <v>3.1333333333333333</v>
      </c>
      <c r="D212" s="117">
        <f>M250*4/6+M251*1/6+M252*1/6</f>
        <v>5.2333333333333334</v>
      </c>
      <c r="E212" s="117"/>
      <c r="F212" s="117"/>
      <c r="G212" s="117"/>
      <c r="H212" s="117"/>
      <c r="I212" s="117"/>
      <c r="J212" s="117"/>
      <c r="K212" s="117"/>
      <c r="L212" s="117"/>
      <c r="M212" s="117">
        <f>O250*4/6+O251*1/6+O252*1/6</f>
        <v>6.4666666666666668</v>
      </c>
      <c r="N212" s="117"/>
      <c r="O212" s="117">
        <f t="shared" si="20"/>
        <v>12.283333333333333</v>
      </c>
      <c r="P212" s="166">
        <f t="shared" si="20"/>
        <v>5.7166666666666668</v>
      </c>
    </row>
    <row r="213" spans="1:16" ht="16.5" hidden="1" customHeight="1" x14ac:dyDescent="0.2">
      <c r="A213" s="165" t="str">
        <f>A253</f>
        <v>Mischformen Food / Non-Food, Fachmarkt</v>
      </c>
      <c r="B213" s="117">
        <f t="shared" ref="B213:P213" si="21">C255*4/6+C256*1/6+C257*1/6</f>
        <v>3.2833333333333332</v>
      </c>
      <c r="C213" s="117">
        <f t="shared" si="21"/>
        <v>3.8000000000000003</v>
      </c>
      <c r="D213" s="117">
        <f>M255*4/6+M256*1/6+M257*1/6</f>
        <v>4.3166666666666664</v>
      </c>
      <c r="E213" s="117"/>
      <c r="F213" s="117"/>
      <c r="G213" s="117"/>
      <c r="H213" s="117"/>
      <c r="I213" s="117"/>
      <c r="J213" s="117"/>
      <c r="K213" s="117"/>
      <c r="L213" s="117"/>
      <c r="M213" s="117">
        <f>O255*4/6+O256*1/6+O257*1/6</f>
        <v>4.7666666666666666</v>
      </c>
      <c r="N213" s="117"/>
      <c r="O213" s="117">
        <f t="shared" si="21"/>
        <v>5.8666666666666671</v>
      </c>
      <c r="P213" s="166">
        <f t="shared" si="21"/>
        <v>4.416666666666667</v>
      </c>
    </row>
    <row r="214" spans="1:16" ht="16.5" hidden="1" customHeight="1" x14ac:dyDescent="0.2">
      <c r="A214" s="165" t="s">
        <v>191</v>
      </c>
      <c r="B214" s="117">
        <f t="shared" ref="B214:P214" si="22">C242</f>
        <v>3.2</v>
      </c>
      <c r="C214" s="117">
        <f t="shared" si="22"/>
        <v>4.5999999999999996</v>
      </c>
      <c r="D214" s="117">
        <f>M242</f>
        <v>5.9</v>
      </c>
      <c r="E214" s="117"/>
      <c r="F214" s="117"/>
      <c r="G214" s="117"/>
      <c r="H214" s="117"/>
      <c r="I214" s="117"/>
      <c r="J214" s="117"/>
      <c r="K214" s="117"/>
      <c r="L214" s="117"/>
      <c r="M214" s="117">
        <f>O242</f>
        <v>6.3</v>
      </c>
      <c r="N214" s="117"/>
      <c r="O214" s="117">
        <f t="shared" si="22"/>
        <v>6.5</v>
      </c>
      <c r="P214" s="166">
        <f t="shared" si="22"/>
        <v>5.3</v>
      </c>
    </row>
    <row r="215" spans="1:16" ht="16.5" hidden="1" customHeight="1" x14ac:dyDescent="0.2">
      <c r="A215" s="165" t="s">
        <v>190</v>
      </c>
      <c r="B215" s="117">
        <f t="shared" ref="B215:P215" si="23">C259</f>
        <v>1.9</v>
      </c>
      <c r="C215" s="117">
        <f t="shared" si="23"/>
        <v>2.5</v>
      </c>
      <c r="D215" s="117">
        <f>M259</f>
        <v>2.5</v>
      </c>
      <c r="E215" s="117"/>
      <c r="F215" s="117"/>
      <c r="G215" s="117"/>
      <c r="H215" s="117"/>
      <c r="I215" s="117"/>
      <c r="J215" s="117"/>
      <c r="K215" s="117"/>
      <c r="L215" s="117"/>
      <c r="M215" s="117">
        <f>O259</f>
        <v>5.3</v>
      </c>
      <c r="N215" s="117"/>
      <c r="O215" s="117">
        <f t="shared" si="23"/>
        <v>6.7</v>
      </c>
      <c r="P215" s="166">
        <f t="shared" si="23"/>
        <v>3.7</v>
      </c>
    </row>
    <row r="216" spans="1:16" ht="16.5" hidden="1" customHeight="1" x14ac:dyDescent="0.2">
      <c r="A216" s="165" t="s">
        <v>196</v>
      </c>
      <c r="B216" s="117">
        <f t="shared" ref="B216:P216" si="24">C261*4/5+C262*1/5</f>
        <v>0.19127659574468087</v>
      </c>
      <c r="C216" s="117">
        <f t="shared" si="24"/>
        <v>0.41957446808510646</v>
      </c>
      <c r="D216" s="117">
        <f>M261*4/5+M262*1/5</f>
        <v>0.49361702127659579</v>
      </c>
      <c r="E216" s="117"/>
      <c r="F216" s="117"/>
      <c r="G216" s="117"/>
      <c r="H216" s="117"/>
      <c r="I216" s="117"/>
      <c r="J216" s="117"/>
      <c r="K216" s="117"/>
      <c r="L216" s="117"/>
      <c r="M216" s="117">
        <f>O261*4/5+O262*1/5</f>
        <v>0.58000000000000007</v>
      </c>
      <c r="N216" s="117"/>
      <c r="O216" s="117">
        <f t="shared" si="24"/>
        <v>0.61702127659574479</v>
      </c>
      <c r="P216" s="166">
        <f t="shared" si="24"/>
        <v>0.46276595744680854</v>
      </c>
    </row>
    <row r="217" spans="1:16" ht="16.5" hidden="1" customHeight="1" x14ac:dyDescent="0.2">
      <c r="A217" s="167"/>
      <c r="B217" s="168"/>
      <c r="C217" s="168"/>
      <c r="D217" s="168"/>
      <c r="E217" s="168"/>
      <c r="F217" s="168"/>
      <c r="G217" s="168"/>
      <c r="H217" s="168"/>
      <c r="I217" s="168"/>
      <c r="J217" s="168"/>
      <c r="K217" s="168"/>
      <c r="L217" s="168"/>
      <c r="M217" s="168"/>
      <c r="N217" s="168"/>
      <c r="O217" s="168"/>
      <c r="P217" s="149"/>
    </row>
    <row r="218" spans="1:16" ht="16.5" hidden="1" customHeight="1" x14ac:dyDescent="0.2"/>
    <row r="219" spans="1:16" ht="16.5" hidden="1" customHeight="1" x14ac:dyDescent="0.2"/>
    <row r="220" spans="1:16" ht="16.5" hidden="1" customHeight="1" x14ac:dyDescent="0.2"/>
    <row r="221" spans="1:16" ht="16.5" hidden="1" customHeight="1" x14ac:dyDescent="0.2"/>
    <row r="222" spans="1:16" ht="16.5" hidden="1" customHeight="1" x14ac:dyDescent="0.2"/>
    <row r="223" spans="1:16" ht="16.5" hidden="1" customHeight="1" x14ac:dyDescent="0.2"/>
    <row r="224" spans="1:16" ht="16.5" hidden="1" customHeight="1" x14ac:dyDescent="0.2"/>
    <row r="225" spans="1:27" ht="16.5" hidden="1" customHeight="1" x14ac:dyDescent="0.2">
      <c r="A225" s="169" t="s">
        <v>36</v>
      </c>
      <c r="B225" s="170"/>
      <c r="C225" s="170"/>
      <c r="D225" s="170"/>
      <c r="E225" s="170"/>
      <c r="F225" s="170"/>
      <c r="G225" s="170"/>
      <c r="H225" s="170"/>
      <c r="I225" s="170"/>
      <c r="J225" s="170"/>
      <c r="K225" s="170"/>
      <c r="L225" s="170"/>
      <c r="M225" s="170"/>
      <c r="N225" s="170"/>
      <c r="O225" s="170"/>
      <c r="P225" s="170"/>
      <c r="Q225" s="170"/>
      <c r="R225" s="170"/>
      <c r="S225" s="170"/>
      <c r="T225" s="170"/>
    </row>
    <row r="226" spans="1:27" ht="16.5" hidden="1" customHeight="1" x14ac:dyDescent="0.2"/>
    <row r="227" spans="1:27" ht="16.5" hidden="1" customHeight="1" x14ac:dyDescent="0.2"/>
    <row r="228" spans="1:27" ht="16.5" hidden="1" customHeight="1" x14ac:dyDescent="0.2"/>
    <row r="229" spans="1:27" ht="16.5" hidden="1" customHeight="1" x14ac:dyDescent="0.2"/>
    <row r="230" spans="1:27" ht="16.5" hidden="1" customHeight="1" x14ac:dyDescent="0.2">
      <c r="C230" s="87" t="s">
        <v>47</v>
      </c>
    </row>
    <row r="231" spans="1:27" ht="16.5" hidden="1" customHeight="1" x14ac:dyDescent="0.2">
      <c r="A231" s="87" t="s">
        <v>8</v>
      </c>
      <c r="B231" s="171" t="s">
        <v>34</v>
      </c>
      <c r="C231" s="87" t="s">
        <v>42</v>
      </c>
      <c r="D231" s="87" t="s">
        <v>43</v>
      </c>
      <c r="E231" s="87"/>
      <c r="F231" s="87"/>
      <c r="G231" s="87"/>
      <c r="H231" s="87"/>
      <c r="I231" s="87"/>
      <c r="J231" s="87"/>
      <c r="K231" s="87"/>
      <c r="L231" s="87"/>
      <c r="M231" s="87" t="s">
        <v>44</v>
      </c>
      <c r="N231" s="87"/>
      <c r="O231" s="87" t="s">
        <v>45</v>
      </c>
      <c r="P231" s="87" t="s">
        <v>46</v>
      </c>
      <c r="Q231" s="171" t="s">
        <v>34</v>
      </c>
      <c r="R231" s="87" t="s">
        <v>19</v>
      </c>
    </row>
    <row r="232" spans="1:27" ht="16.5" hidden="1" customHeight="1" x14ac:dyDescent="0.2">
      <c r="A232" s="73" t="s">
        <v>51</v>
      </c>
      <c r="B232" s="172">
        <v>2</v>
      </c>
      <c r="C232" s="158">
        <v>1.6</v>
      </c>
      <c r="D232" s="158">
        <v>1.7</v>
      </c>
      <c r="E232" s="158"/>
      <c r="F232" s="158"/>
      <c r="G232" s="158"/>
      <c r="H232" s="158"/>
      <c r="I232" s="158"/>
      <c r="J232" s="158"/>
      <c r="K232" s="158"/>
      <c r="L232" s="158"/>
      <c r="M232" s="158">
        <v>1.8</v>
      </c>
      <c r="N232" s="158"/>
      <c r="O232" s="158">
        <v>2.1</v>
      </c>
      <c r="P232" s="158">
        <v>2.8</v>
      </c>
      <c r="Q232" s="172">
        <v>2</v>
      </c>
    </row>
    <row r="233" spans="1:27" ht="16.5" hidden="1" customHeight="1" x14ac:dyDescent="0.2">
      <c r="A233" s="73" t="s">
        <v>19</v>
      </c>
      <c r="B233" s="172">
        <v>3.2</v>
      </c>
      <c r="C233" s="158">
        <v>2.2000000000000002</v>
      </c>
      <c r="D233" s="158">
        <v>2.5</v>
      </c>
      <c r="E233" s="158"/>
      <c r="F233" s="158"/>
      <c r="G233" s="158"/>
      <c r="H233" s="158"/>
      <c r="I233" s="158"/>
      <c r="J233" s="158"/>
      <c r="K233" s="158"/>
      <c r="L233" s="158"/>
      <c r="M233" s="158">
        <v>2.6</v>
      </c>
      <c r="N233" s="158"/>
      <c r="O233" s="158">
        <v>2.7</v>
      </c>
      <c r="P233" s="158">
        <v>3</v>
      </c>
      <c r="Q233" s="172">
        <v>2.6</v>
      </c>
      <c r="R233" s="117">
        <f>Q233</f>
        <v>2.6</v>
      </c>
    </row>
    <row r="234" spans="1:27" ht="16.5" hidden="1" customHeight="1" x14ac:dyDescent="0.2">
      <c r="A234" s="87" t="s">
        <v>37</v>
      </c>
      <c r="B234" s="172"/>
      <c r="C234" s="158"/>
      <c r="D234" s="158"/>
      <c r="E234" s="158"/>
      <c r="F234" s="158"/>
      <c r="G234" s="158"/>
      <c r="H234" s="158"/>
      <c r="I234" s="158"/>
      <c r="J234" s="158"/>
      <c r="K234" s="158"/>
      <c r="L234" s="158"/>
      <c r="M234" s="158"/>
      <c r="N234" s="158"/>
      <c r="O234" s="158"/>
      <c r="P234" s="158"/>
      <c r="Q234" s="172"/>
      <c r="U234" s="158"/>
      <c r="V234" s="158"/>
      <c r="W234" s="158"/>
      <c r="X234" s="158"/>
      <c r="Y234" s="158"/>
      <c r="Z234" s="158"/>
      <c r="AA234" s="158"/>
    </row>
    <row r="235" spans="1:27" ht="16.5" hidden="1" customHeight="1" x14ac:dyDescent="0.2">
      <c r="A235" s="73" t="s">
        <v>51</v>
      </c>
      <c r="B235" s="172">
        <v>4.3</v>
      </c>
      <c r="C235" s="158">
        <v>1.3</v>
      </c>
      <c r="D235" s="158">
        <v>1.7</v>
      </c>
      <c r="E235" s="158"/>
      <c r="F235" s="158"/>
      <c r="G235" s="158"/>
      <c r="H235" s="158"/>
      <c r="I235" s="158"/>
      <c r="J235" s="158"/>
      <c r="K235" s="158"/>
      <c r="L235" s="158"/>
      <c r="M235" s="158">
        <v>2.2000000000000002</v>
      </c>
      <c r="N235" s="158"/>
      <c r="O235" s="158">
        <v>3.6</v>
      </c>
      <c r="P235" s="158">
        <v>5.3</v>
      </c>
      <c r="Q235" s="172">
        <v>2.6</v>
      </c>
      <c r="U235" s="158"/>
      <c r="V235" s="158"/>
      <c r="W235" s="158"/>
      <c r="X235" s="158"/>
      <c r="Y235" s="158"/>
      <c r="Z235" s="158"/>
      <c r="AA235" s="158"/>
    </row>
    <row r="236" spans="1:27" ht="16.5" hidden="1" customHeight="1" x14ac:dyDescent="0.2">
      <c r="A236" s="73" t="s">
        <v>19</v>
      </c>
      <c r="B236" s="172">
        <v>5.3</v>
      </c>
      <c r="C236" s="158">
        <v>1.8</v>
      </c>
      <c r="D236" s="158">
        <v>2.2000000000000002</v>
      </c>
      <c r="E236" s="158"/>
      <c r="F236" s="158"/>
      <c r="G236" s="158"/>
      <c r="H236" s="158"/>
      <c r="I236" s="158"/>
      <c r="J236" s="158"/>
      <c r="K236" s="158"/>
      <c r="L236" s="158"/>
      <c r="M236" s="158">
        <v>2.7</v>
      </c>
      <c r="N236" s="158"/>
      <c r="O236" s="158">
        <v>4.0999999999999996</v>
      </c>
      <c r="P236" s="158">
        <v>7.4</v>
      </c>
      <c r="Q236" s="172">
        <v>3.3</v>
      </c>
      <c r="R236" s="117">
        <f>Q236</f>
        <v>3.3</v>
      </c>
      <c r="U236" s="158"/>
      <c r="V236" s="158"/>
      <c r="W236" s="158"/>
      <c r="X236" s="158"/>
      <c r="Y236" s="158"/>
      <c r="Z236" s="158"/>
      <c r="AA236" s="158"/>
    </row>
    <row r="237" spans="1:27" ht="16.5" hidden="1" customHeight="1" x14ac:dyDescent="0.2">
      <c r="A237" s="87" t="s">
        <v>38</v>
      </c>
      <c r="B237" s="172"/>
      <c r="C237" s="158"/>
      <c r="D237" s="158"/>
      <c r="E237" s="158"/>
      <c r="F237" s="158"/>
      <c r="G237" s="158"/>
      <c r="H237" s="158"/>
      <c r="I237" s="158"/>
      <c r="J237" s="158"/>
      <c r="K237" s="158"/>
      <c r="L237" s="158"/>
      <c r="M237" s="158"/>
      <c r="N237" s="158"/>
      <c r="O237" s="158"/>
      <c r="P237" s="158"/>
      <c r="Q237" s="172"/>
      <c r="U237" s="158"/>
      <c r="V237" s="158"/>
      <c r="W237" s="158"/>
      <c r="X237" s="158"/>
      <c r="Y237" s="158"/>
      <c r="Z237" s="158"/>
      <c r="AA237" s="158"/>
    </row>
    <row r="238" spans="1:27" ht="16.5" hidden="1" customHeight="1" x14ac:dyDescent="0.2">
      <c r="A238" s="73" t="s">
        <v>51</v>
      </c>
      <c r="B238" s="172">
        <v>76.8</v>
      </c>
      <c r="C238" s="158">
        <v>4.5</v>
      </c>
      <c r="D238" s="158">
        <v>6</v>
      </c>
      <c r="E238" s="158"/>
      <c r="F238" s="158"/>
      <c r="G238" s="158"/>
      <c r="H238" s="158"/>
      <c r="I238" s="158"/>
      <c r="J238" s="158"/>
      <c r="K238" s="158"/>
      <c r="L238" s="158"/>
      <c r="M238" s="158">
        <v>7.4</v>
      </c>
      <c r="N238" s="158"/>
      <c r="O238" s="158">
        <v>17</v>
      </c>
      <c r="P238" s="158">
        <v>26.5</v>
      </c>
      <c r="Q238" s="172">
        <v>12.8</v>
      </c>
      <c r="U238" s="158"/>
      <c r="V238" s="158"/>
      <c r="W238" s="158"/>
      <c r="X238" s="158"/>
      <c r="Y238" s="158"/>
      <c r="Z238" s="158"/>
      <c r="AA238" s="158"/>
    </row>
    <row r="239" spans="1:27" ht="16.5" hidden="1" customHeight="1" x14ac:dyDescent="0.2">
      <c r="A239" s="73" t="s">
        <v>19</v>
      </c>
      <c r="B239" s="172">
        <v>85.4</v>
      </c>
      <c r="C239" s="158">
        <v>4.8</v>
      </c>
      <c r="D239" s="158">
        <v>6.7</v>
      </c>
      <c r="E239" s="158"/>
      <c r="F239" s="158"/>
      <c r="G239" s="158"/>
      <c r="H239" s="158"/>
      <c r="I239" s="158"/>
      <c r="J239" s="158"/>
      <c r="K239" s="158"/>
      <c r="L239" s="158"/>
      <c r="M239" s="158">
        <v>8.6</v>
      </c>
      <c r="N239" s="158"/>
      <c r="O239" s="158">
        <v>19</v>
      </c>
      <c r="P239" s="158">
        <v>29.4</v>
      </c>
      <c r="Q239" s="172">
        <v>14.3</v>
      </c>
      <c r="R239" s="117">
        <f>Q239</f>
        <v>14.3</v>
      </c>
      <c r="U239" s="158"/>
      <c r="V239" s="158"/>
      <c r="W239" s="158"/>
      <c r="X239" s="158"/>
      <c r="Y239" s="158"/>
      <c r="Z239" s="158"/>
      <c r="AA239" s="158"/>
    </row>
    <row r="240" spans="1:27" ht="16.5" hidden="1" customHeight="1" x14ac:dyDescent="0.2">
      <c r="A240" s="73" t="s">
        <v>48</v>
      </c>
      <c r="B240" s="172"/>
      <c r="C240" s="158"/>
      <c r="D240" s="158"/>
      <c r="E240" s="158"/>
      <c r="F240" s="158"/>
      <c r="G240" s="158"/>
      <c r="H240" s="158"/>
      <c r="I240" s="158"/>
      <c r="J240" s="158"/>
      <c r="K240" s="158"/>
      <c r="L240" s="158"/>
      <c r="M240" s="158"/>
      <c r="N240" s="158"/>
      <c r="O240" s="158"/>
      <c r="P240" s="158"/>
      <c r="Q240" s="172"/>
      <c r="U240" s="158"/>
      <c r="V240" s="158"/>
      <c r="W240" s="158"/>
      <c r="X240" s="158"/>
      <c r="Y240" s="158"/>
      <c r="Z240" s="158"/>
      <c r="AA240" s="158"/>
    </row>
    <row r="241" spans="1:27" ht="16.5" hidden="1" customHeight="1" x14ac:dyDescent="0.2">
      <c r="A241" s="87" t="s">
        <v>191</v>
      </c>
      <c r="U241" s="158"/>
      <c r="V241" s="158"/>
      <c r="W241" s="158"/>
      <c r="X241" s="158"/>
      <c r="Y241" s="158"/>
      <c r="Z241" s="158"/>
      <c r="AA241" s="158"/>
    </row>
    <row r="242" spans="1:27" ht="16.5" hidden="1" customHeight="1" x14ac:dyDescent="0.2">
      <c r="A242" s="73" t="s">
        <v>19</v>
      </c>
      <c r="B242" s="87">
        <v>5.9</v>
      </c>
      <c r="C242" s="73">
        <v>3.2</v>
      </c>
      <c r="D242" s="73">
        <v>4.5999999999999996</v>
      </c>
      <c r="M242" s="73">
        <v>5.9</v>
      </c>
      <c r="O242" s="73">
        <v>6.3</v>
      </c>
      <c r="P242" s="73">
        <v>6.5</v>
      </c>
      <c r="Q242" s="73">
        <v>5.3</v>
      </c>
      <c r="U242" s="158"/>
      <c r="V242" s="158"/>
      <c r="W242" s="158"/>
      <c r="X242" s="158"/>
      <c r="Y242" s="158"/>
      <c r="Z242" s="158"/>
      <c r="AA242" s="158"/>
    </row>
    <row r="243" spans="1:27" ht="16.5" hidden="1" customHeight="1" x14ac:dyDescent="0.2">
      <c r="A243" s="87" t="s">
        <v>39</v>
      </c>
      <c r="C243" s="158"/>
      <c r="D243" s="158"/>
      <c r="E243" s="158"/>
      <c r="F243" s="158"/>
      <c r="G243" s="158"/>
      <c r="H243" s="158"/>
      <c r="I243" s="158"/>
      <c r="J243" s="158"/>
      <c r="K243" s="158"/>
      <c r="L243" s="158"/>
      <c r="M243" s="158"/>
      <c r="N243" s="158"/>
      <c r="O243" s="158"/>
      <c r="P243" s="158"/>
      <c r="Q243" s="172"/>
      <c r="U243" s="158"/>
      <c r="V243" s="158"/>
      <c r="W243" s="158"/>
      <c r="X243" s="158"/>
      <c r="Y243" s="158"/>
      <c r="Z243" s="158"/>
      <c r="AA243" s="158"/>
    </row>
    <row r="244" spans="1:27" ht="16.5" hidden="1" customHeight="1" x14ac:dyDescent="0.2">
      <c r="A244" s="73" t="s">
        <v>51</v>
      </c>
      <c r="B244" s="172">
        <v>59</v>
      </c>
      <c r="C244" s="158">
        <v>3.5</v>
      </c>
      <c r="D244" s="158">
        <v>3.9</v>
      </c>
      <c r="E244" s="158"/>
      <c r="F244" s="158"/>
      <c r="G244" s="158"/>
      <c r="H244" s="158"/>
      <c r="I244" s="158"/>
      <c r="J244" s="158"/>
      <c r="K244" s="158"/>
      <c r="L244" s="158"/>
      <c r="M244" s="158">
        <v>4.3</v>
      </c>
      <c r="N244" s="158"/>
      <c r="O244" s="158">
        <v>6.2</v>
      </c>
      <c r="P244" s="158">
        <v>10.7</v>
      </c>
      <c r="Q244" s="172">
        <v>5.7</v>
      </c>
      <c r="U244" s="158"/>
      <c r="V244" s="158"/>
      <c r="W244" s="158"/>
      <c r="X244" s="158"/>
      <c r="Y244" s="158"/>
      <c r="Z244" s="158"/>
      <c r="AA244" s="158"/>
    </row>
    <row r="245" spans="1:27" ht="16.5" hidden="1" customHeight="1" x14ac:dyDescent="0.2">
      <c r="A245" s="73" t="s">
        <v>50</v>
      </c>
      <c r="B245" s="172">
        <v>73</v>
      </c>
      <c r="C245" s="158">
        <v>4.2</v>
      </c>
      <c r="D245" s="158">
        <v>5.7</v>
      </c>
      <c r="E245" s="158"/>
      <c r="F245" s="158"/>
      <c r="G245" s="158"/>
      <c r="H245" s="158"/>
      <c r="I245" s="158"/>
      <c r="J245" s="158"/>
      <c r="K245" s="158"/>
      <c r="L245" s="158"/>
      <c r="M245" s="158">
        <v>7.1</v>
      </c>
      <c r="N245" s="158"/>
      <c r="O245" s="158">
        <v>8.6</v>
      </c>
      <c r="P245" s="158">
        <v>10.1</v>
      </c>
      <c r="Q245" s="173">
        <v>7.1</v>
      </c>
      <c r="U245" s="158"/>
      <c r="V245" s="158"/>
      <c r="W245" s="158"/>
      <c r="X245" s="158"/>
      <c r="Y245" s="158"/>
      <c r="Z245" s="158"/>
      <c r="AA245" s="158"/>
    </row>
    <row r="246" spans="1:27" ht="16.5" hidden="1" customHeight="1" x14ac:dyDescent="0.2">
      <c r="A246" s="73" t="s">
        <v>49</v>
      </c>
      <c r="B246" s="172">
        <v>90</v>
      </c>
      <c r="C246" s="158">
        <v>5.6</v>
      </c>
      <c r="D246" s="158">
        <v>5.9</v>
      </c>
      <c r="E246" s="158"/>
      <c r="F246" s="158"/>
      <c r="G246" s="158"/>
      <c r="H246" s="158"/>
      <c r="I246" s="158"/>
      <c r="J246" s="158"/>
      <c r="K246" s="158"/>
      <c r="L246" s="158"/>
      <c r="M246" s="158">
        <v>6.2</v>
      </c>
      <c r="N246" s="158"/>
      <c r="O246" s="158">
        <v>9.6</v>
      </c>
      <c r="P246" s="158">
        <v>13.1</v>
      </c>
      <c r="Q246" s="172">
        <v>8.3000000000000007</v>
      </c>
      <c r="U246" s="158"/>
      <c r="V246" s="158"/>
      <c r="W246" s="158"/>
      <c r="X246" s="158"/>
      <c r="Y246" s="158"/>
      <c r="Z246" s="158"/>
      <c r="AA246" s="158"/>
    </row>
    <row r="247" spans="1:27" ht="16.5" hidden="1" customHeight="1" x14ac:dyDescent="0.2">
      <c r="A247" s="73" t="s">
        <v>48</v>
      </c>
      <c r="B247" s="106">
        <v>62</v>
      </c>
      <c r="C247" s="158">
        <v>2.5</v>
      </c>
      <c r="D247" s="158">
        <v>3.2</v>
      </c>
      <c r="E247" s="158"/>
      <c r="F247" s="158"/>
      <c r="G247" s="158"/>
      <c r="H247" s="158"/>
      <c r="I247" s="158"/>
      <c r="J247" s="158"/>
      <c r="K247" s="158"/>
      <c r="L247" s="158"/>
      <c r="M247" s="158">
        <v>3.9</v>
      </c>
      <c r="N247" s="158"/>
      <c r="O247" s="158">
        <v>7.4</v>
      </c>
      <c r="P247" s="158">
        <v>10.9</v>
      </c>
      <c r="Q247" s="172">
        <v>5.8</v>
      </c>
      <c r="U247" s="158"/>
      <c r="V247" s="158"/>
      <c r="W247" s="158"/>
      <c r="X247" s="158"/>
      <c r="Y247" s="158"/>
      <c r="Z247" s="158"/>
      <c r="AA247" s="158"/>
    </row>
    <row r="248" spans="1:27" ht="16.5" hidden="1" customHeight="1" x14ac:dyDescent="0.2">
      <c r="A248" s="87" t="s">
        <v>40</v>
      </c>
      <c r="B248" s="172"/>
      <c r="C248" s="158"/>
      <c r="D248" s="158"/>
      <c r="E248" s="158"/>
      <c r="F248" s="158"/>
      <c r="G248" s="158"/>
      <c r="H248" s="158"/>
      <c r="I248" s="158"/>
      <c r="J248" s="158"/>
      <c r="K248" s="158"/>
      <c r="L248" s="158"/>
      <c r="M248" s="158"/>
      <c r="N248" s="158"/>
      <c r="O248" s="158"/>
      <c r="P248" s="158"/>
      <c r="Q248" s="172"/>
      <c r="U248" s="158"/>
      <c r="V248" s="158"/>
      <c r="W248" s="158"/>
      <c r="X248" s="158"/>
      <c r="Y248" s="158"/>
      <c r="Z248" s="158"/>
      <c r="AA248" s="158"/>
    </row>
    <row r="249" spans="1:27" ht="16.5" hidden="1" customHeight="1" x14ac:dyDescent="0.2">
      <c r="A249" s="73" t="s">
        <v>51</v>
      </c>
      <c r="B249" s="172">
        <v>46</v>
      </c>
      <c r="C249" s="158">
        <v>2.2999999999999998</v>
      </c>
      <c r="D249" s="158">
        <v>3</v>
      </c>
      <c r="E249" s="158"/>
      <c r="F249" s="158"/>
      <c r="G249" s="158"/>
      <c r="H249" s="158"/>
      <c r="I249" s="158"/>
      <c r="J249" s="158"/>
      <c r="K249" s="158"/>
      <c r="L249" s="158"/>
      <c r="M249" s="158">
        <v>5.0999999999999996</v>
      </c>
      <c r="N249" s="158"/>
      <c r="O249" s="158">
        <v>6.5</v>
      </c>
      <c r="P249" s="158">
        <v>12.3</v>
      </c>
      <c r="Q249" s="172">
        <v>5.7</v>
      </c>
      <c r="U249" s="158"/>
      <c r="V249" s="158"/>
      <c r="W249" s="158"/>
      <c r="X249" s="158"/>
      <c r="Y249" s="158"/>
      <c r="Z249" s="158"/>
      <c r="AA249" s="158"/>
    </row>
    <row r="250" spans="1:27" ht="16.5" hidden="1" customHeight="1" x14ac:dyDescent="0.2">
      <c r="A250" s="73" t="s">
        <v>50</v>
      </c>
      <c r="B250" s="172">
        <v>41</v>
      </c>
      <c r="C250" s="158">
        <v>2</v>
      </c>
      <c r="D250" s="158">
        <v>2.7</v>
      </c>
      <c r="E250" s="158"/>
      <c r="F250" s="158"/>
      <c r="G250" s="158"/>
      <c r="H250" s="158"/>
      <c r="I250" s="158"/>
      <c r="J250" s="158"/>
      <c r="K250" s="158"/>
      <c r="L250" s="158"/>
      <c r="M250" s="158">
        <v>4.7</v>
      </c>
      <c r="N250" s="158"/>
      <c r="O250" s="158">
        <v>5.8</v>
      </c>
      <c r="P250" s="158">
        <v>11.6</v>
      </c>
      <c r="Q250" s="172">
        <v>5.2</v>
      </c>
      <c r="U250" s="158"/>
      <c r="V250" s="158"/>
      <c r="W250" s="158"/>
      <c r="X250" s="158"/>
      <c r="Y250" s="158"/>
      <c r="Z250" s="158"/>
      <c r="AA250" s="158"/>
    </row>
    <row r="251" spans="1:27" ht="16.5" hidden="1" customHeight="1" x14ac:dyDescent="0.2">
      <c r="A251" s="73" t="s">
        <v>49</v>
      </c>
      <c r="B251" s="172">
        <v>44</v>
      </c>
      <c r="C251" s="158">
        <v>1.8</v>
      </c>
      <c r="D251" s="158">
        <v>2.9</v>
      </c>
      <c r="E251" s="158"/>
      <c r="F251" s="158"/>
      <c r="G251" s="158"/>
      <c r="H251" s="158"/>
      <c r="I251" s="158"/>
      <c r="J251" s="158"/>
      <c r="K251" s="158"/>
      <c r="L251" s="158"/>
      <c r="M251" s="158">
        <v>4.7</v>
      </c>
      <c r="N251" s="158"/>
      <c r="O251" s="158">
        <v>6.6</v>
      </c>
      <c r="P251" s="158">
        <v>11.6</v>
      </c>
      <c r="Q251" s="172">
        <v>5.4</v>
      </c>
      <c r="U251" s="158"/>
      <c r="V251" s="158"/>
      <c r="W251" s="158"/>
      <c r="X251" s="158"/>
      <c r="Y251" s="158"/>
      <c r="Z251" s="158"/>
      <c r="AA251" s="158"/>
    </row>
    <row r="252" spans="1:27" ht="16.5" hidden="1" customHeight="1" x14ac:dyDescent="0.2">
      <c r="A252" s="73" t="s">
        <v>48</v>
      </c>
      <c r="B252" s="106">
        <v>67</v>
      </c>
      <c r="C252" s="73">
        <v>3.4</v>
      </c>
      <c r="D252" s="158">
        <v>5.0999999999999996</v>
      </c>
      <c r="E252" s="158"/>
      <c r="F252" s="158"/>
      <c r="G252" s="158"/>
      <c r="H252" s="158"/>
      <c r="I252" s="158"/>
      <c r="J252" s="158"/>
      <c r="K252" s="158"/>
      <c r="L252" s="158"/>
      <c r="M252" s="158">
        <v>7.9</v>
      </c>
      <c r="N252" s="158"/>
      <c r="O252" s="158">
        <v>9</v>
      </c>
      <c r="P252" s="158">
        <v>15.7</v>
      </c>
      <c r="Q252" s="172">
        <v>8.1</v>
      </c>
      <c r="U252" s="158"/>
      <c r="V252" s="158"/>
      <c r="W252" s="158"/>
      <c r="X252" s="158"/>
      <c r="Y252" s="158"/>
      <c r="Z252" s="158"/>
      <c r="AA252" s="158"/>
    </row>
    <row r="253" spans="1:27" ht="16.5" hidden="1" customHeight="1" x14ac:dyDescent="0.2">
      <c r="A253" s="87" t="s">
        <v>41</v>
      </c>
      <c r="B253" s="172"/>
      <c r="D253" s="158"/>
      <c r="E253" s="158"/>
      <c r="F253" s="158"/>
      <c r="G253" s="158"/>
      <c r="H253" s="158"/>
      <c r="I253" s="158"/>
      <c r="J253" s="158"/>
      <c r="K253" s="158"/>
      <c r="L253" s="158"/>
      <c r="M253" s="158"/>
      <c r="N253" s="158"/>
      <c r="O253" s="158"/>
      <c r="P253" s="158"/>
      <c r="Q253" s="172"/>
    </row>
    <row r="254" spans="1:27" ht="16.5" hidden="1" customHeight="1" x14ac:dyDescent="0.2">
      <c r="A254" s="73" t="s">
        <v>51</v>
      </c>
      <c r="B254" s="106">
        <v>42</v>
      </c>
      <c r="C254" s="117">
        <v>3.3</v>
      </c>
      <c r="D254" s="158">
        <v>3.8</v>
      </c>
      <c r="E254" s="158"/>
      <c r="F254" s="158"/>
      <c r="G254" s="158"/>
      <c r="H254" s="158"/>
      <c r="I254" s="158"/>
      <c r="J254" s="158"/>
      <c r="K254" s="158"/>
      <c r="L254" s="158"/>
      <c r="M254" s="158">
        <v>4.2</v>
      </c>
      <c r="N254" s="158"/>
      <c r="O254" s="158">
        <v>4.4000000000000004</v>
      </c>
      <c r="P254" s="158">
        <v>4.8</v>
      </c>
      <c r="Q254" s="172">
        <v>4.0999999999999996</v>
      </c>
    </row>
    <row r="255" spans="1:27" ht="16.5" hidden="1" customHeight="1" x14ac:dyDescent="0.2">
      <c r="A255" s="73" t="s">
        <v>50</v>
      </c>
      <c r="B255" s="106">
        <v>42</v>
      </c>
      <c r="C255" s="117">
        <v>3.1</v>
      </c>
      <c r="D255" s="117">
        <v>3.5</v>
      </c>
      <c r="E255" s="117"/>
      <c r="F255" s="117"/>
      <c r="G255" s="117"/>
      <c r="H255" s="117"/>
      <c r="I255" s="117"/>
      <c r="J255" s="117"/>
      <c r="K255" s="117"/>
      <c r="L255" s="117"/>
      <c r="M255" s="117">
        <v>4</v>
      </c>
      <c r="N255" s="117"/>
      <c r="O255" s="117">
        <v>4.4000000000000004</v>
      </c>
      <c r="P255" s="117">
        <v>5.9</v>
      </c>
      <c r="Q255" s="106">
        <v>4.2</v>
      </c>
    </row>
    <row r="256" spans="1:27" ht="16.5" hidden="1" customHeight="1" x14ac:dyDescent="0.2">
      <c r="A256" s="73" t="s">
        <v>49</v>
      </c>
      <c r="B256" s="106">
        <v>47</v>
      </c>
      <c r="C256" s="117">
        <v>3.2</v>
      </c>
      <c r="D256" s="117">
        <v>4.4000000000000004</v>
      </c>
      <c r="E256" s="117"/>
      <c r="F256" s="117"/>
      <c r="G256" s="117"/>
      <c r="H256" s="117"/>
      <c r="I256" s="117"/>
      <c r="J256" s="117"/>
      <c r="K256" s="117"/>
      <c r="L256" s="117"/>
      <c r="M256" s="117">
        <v>4.5999999999999996</v>
      </c>
      <c r="N256" s="117"/>
      <c r="O256" s="117">
        <v>5.3</v>
      </c>
      <c r="P256" s="117">
        <v>5.9</v>
      </c>
      <c r="Q256" s="174">
        <v>4.7</v>
      </c>
    </row>
    <row r="257" spans="1:18" ht="16.5" hidden="1" customHeight="1" x14ac:dyDescent="0.2">
      <c r="A257" s="73" t="s">
        <v>48</v>
      </c>
      <c r="B257" s="106">
        <v>50</v>
      </c>
      <c r="C257" s="117">
        <v>4.0999999999999996</v>
      </c>
      <c r="D257" s="117">
        <v>4.4000000000000004</v>
      </c>
      <c r="E257" s="117"/>
      <c r="F257" s="117"/>
      <c r="G257" s="117"/>
      <c r="H257" s="117"/>
      <c r="I257" s="117"/>
      <c r="J257" s="117"/>
      <c r="K257" s="117"/>
      <c r="L257" s="117"/>
      <c r="M257" s="117">
        <v>5.3</v>
      </c>
      <c r="N257" s="117"/>
      <c r="O257" s="117">
        <v>5.7</v>
      </c>
      <c r="P257" s="117">
        <v>5.7</v>
      </c>
      <c r="Q257" s="174">
        <v>5</v>
      </c>
    </row>
    <row r="258" spans="1:18" ht="16.5" hidden="1" customHeight="1" x14ac:dyDescent="0.2">
      <c r="A258" s="87" t="s">
        <v>190</v>
      </c>
    </row>
    <row r="259" spans="1:18" ht="16.5" hidden="1" customHeight="1" x14ac:dyDescent="0.2">
      <c r="A259" s="73" t="s">
        <v>19</v>
      </c>
      <c r="B259" s="87">
        <v>3.3</v>
      </c>
      <c r="C259" s="73">
        <v>1.9</v>
      </c>
      <c r="D259" s="73">
        <v>2.5</v>
      </c>
      <c r="M259" s="73">
        <v>2.5</v>
      </c>
      <c r="O259" s="73">
        <v>5.3</v>
      </c>
      <c r="P259" s="73">
        <v>6.7</v>
      </c>
      <c r="Q259" s="87">
        <v>3.7</v>
      </c>
    </row>
    <row r="260" spans="1:18" ht="16.5" hidden="1" customHeight="1" x14ac:dyDescent="0.2">
      <c r="A260" s="87" t="s">
        <v>196</v>
      </c>
    </row>
    <row r="261" spans="1:18" ht="16.5" hidden="1" customHeight="1" x14ac:dyDescent="0.2">
      <c r="A261" s="73" t="s">
        <v>197</v>
      </c>
      <c r="B261" s="73">
        <v>27</v>
      </c>
      <c r="C261" s="150">
        <f>$O$261*B270</f>
        <v>0.16489361702127661</v>
      </c>
      <c r="D261" s="150">
        <f>$O$261*C270</f>
        <v>0.36170212765957449</v>
      </c>
      <c r="E261" s="150"/>
      <c r="F261" s="150"/>
      <c r="G261" s="150"/>
      <c r="H261" s="150"/>
      <c r="I261" s="150"/>
      <c r="J261" s="150"/>
      <c r="K261" s="150"/>
      <c r="L261" s="150"/>
      <c r="M261" s="150">
        <f>$O$261*D270</f>
        <v>0.42553191489361708</v>
      </c>
      <c r="N261" s="150"/>
      <c r="O261" s="87">
        <v>0.5</v>
      </c>
      <c r="P261" s="150">
        <f>$O$261*O270</f>
        <v>0.53191489361702138</v>
      </c>
      <c r="Q261" s="150">
        <f>$O$261*P270</f>
        <v>0.39893617021276601</v>
      </c>
    </row>
    <row r="262" spans="1:18" ht="16.5" hidden="1" customHeight="1" x14ac:dyDescent="0.2">
      <c r="A262" s="73" t="s">
        <v>49</v>
      </c>
      <c r="B262" s="73">
        <v>42</v>
      </c>
      <c r="C262" s="150">
        <f>$O$262*B270</f>
        <v>0.29680851063829788</v>
      </c>
      <c r="D262" s="150">
        <f>$O$262*C270</f>
        <v>0.65106382978723409</v>
      </c>
      <c r="E262" s="150"/>
      <c r="F262" s="150"/>
      <c r="G262" s="150"/>
      <c r="H262" s="150"/>
      <c r="I262" s="150"/>
      <c r="J262" s="150"/>
      <c r="K262" s="150"/>
      <c r="L262" s="150"/>
      <c r="M262" s="150">
        <f>$O$262*D270</f>
        <v>0.76595744680851074</v>
      </c>
      <c r="N262" s="150"/>
      <c r="O262" s="87">
        <v>0.9</v>
      </c>
      <c r="P262" s="150">
        <f>$O$262*O270</f>
        <v>0.95744680851063846</v>
      </c>
      <c r="Q262" s="150">
        <f>$O$262*P270</f>
        <v>0.71808510638297884</v>
      </c>
    </row>
    <row r="263" spans="1:18" ht="16.5" hidden="1" customHeight="1" x14ac:dyDescent="0.2"/>
    <row r="264" spans="1:18" ht="16.5" hidden="1" customHeight="1" x14ac:dyDescent="0.2"/>
    <row r="265" spans="1:18" ht="16.5" hidden="1" customHeight="1" x14ac:dyDescent="0.2"/>
    <row r="266" spans="1:18" ht="16.5" hidden="1" customHeight="1" x14ac:dyDescent="0.2">
      <c r="A266" s="87" t="s">
        <v>199</v>
      </c>
      <c r="B266" s="87" t="s">
        <v>42</v>
      </c>
      <c r="C266" s="87" t="s">
        <v>43</v>
      </c>
      <c r="D266" s="87" t="s">
        <v>44</v>
      </c>
      <c r="E266" s="87"/>
      <c r="F266" s="87"/>
      <c r="G266" s="87"/>
      <c r="H266" s="87"/>
      <c r="I266" s="87"/>
      <c r="J266" s="87"/>
      <c r="K266" s="87"/>
      <c r="L266" s="87"/>
      <c r="M266" s="87" t="s">
        <v>45</v>
      </c>
      <c r="N266" s="87"/>
      <c r="O266" s="87" t="s">
        <v>46</v>
      </c>
      <c r="P266" s="87" t="s">
        <v>34</v>
      </c>
    </row>
    <row r="267" spans="1:18" ht="16.5" hidden="1" customHeight="1" x14ac:dyDescent="0.2">
      <c r="A267" s="73" t="s">
        <v>198</v>
      </c>
      <c r="B267" s="73">
        <v>11</v>
      </c>
      <c r="C267" s="73">
        <v>25</v>
      </c>
      <c r="D267" s="73">
        <v>30</v>
      </c>
      <c r="M267" s="73">
        <v>33</v>
      </c>
      <c r="O267" s="73">
        <v>35</v>
      </c>
      <c r="P267" s="73">
        <v>27</v>
      </c>
    </row>
    <row r="268" spans="1:18" ht="16.5" hidden="1" customHeight="1" x14ac:dyDescent="0.2">
      <c r="A268" s="73" t="s">
        <v>49</v>
      </c>
      <c r="B268" s="73">
        <v>18</v>
      </c>
      <c r="C268" s="73">
        <v>36</v>
      </c>
      <c r="D268" s="73">
        <v>40</v>
      </c>
      <c r="M268" s="73">
        <v>56</v>
      </c>
      <c r="O268" s="73">
        <v>60</v>
      </c>
      <c r="P268" s="73">
        <v>42</v>
      </c>
    </row>
    <row r="269" spans="1:18" ht="16.5" hidden="1" customHeight="1" x14ac:dyDescent="0.2">
      <c r="A269" s="87" t="s">
        <v>19</v>
      </c>
      <c r="B269" s="87">
        <f>B267*4/5+B268*1/5</f>
        <v>12.4</v>
      </c>
      <c r="C269" s="87">
        <f t="shared" ref="C269:O269" si="25">C267*4/5+C268*1/5</f>
        <v>27.2</v>
      </c>
      <c r="D269" s="87">
        <f t="shared" si="25"/>
        <v>32</v>
      </c>
      <c r="E269" s="87"/>
      <c r="F269" s="87"/>
      <c r="G269" s="87"/>
      <c r="H269" s="87"/>
      <c r="I269" s="87"/>
      <c r="J269" s="87"/>
      <c r="K269" s="87"/>
      <c r="L269" s="87"/>
      <c r="M269" s="87">
        <f t="shared" si="25"/>
        <v>37.599999999999994</v>
      </c>
      <c r="N269" s="87"/>
      <c r="O269" s="87">
        <f t="shared" si="25"/>
        <v>40</v>
      </c>
      <c r="P269" s="87">
        <f>P267*4/5+P268*1/5</f>
        <v>30</v>
      </c>
    </row>
    <row r="270" spans="1:18" ht="31.5" hidden="1" customHeight="1" x14ac:dyDescent="0.2">
      <c r="A270" s="87" t="s">
        <v>200</v>
      </c>
      <c r="B270" s="175">
        <f>B269/$M$269</f>
        <v>0.32978723404255322</v>
      </c>
      <c r="C270" s="175">
        <f>C269/$M$269</f>
        <v>0.72340425531914898</v>
      </c>
      <c r="D270" s="175">
        <f>D269/$M$269</f>
        <v>0.85106382978723416</v>
      </c>
      <c r="E270" s="175"/>
      <c r="F270" s="175"/>
      <c r="G270" s="175"/>
      <c r="H270" s="175"/>
      <c r="I270" s="175"/>
      <c r="J270" s="175"/>
      <c r="K270" s="175"/>
      <c r="L270" s="175"/>
      <c r="M270" s="175">
        <f>M269/$M$269</f>
        <v>1</v>
      </c>
      <c r="N270" s="175"/>
      <c r="O270" s="175">
        <f>O269/$M$269</f>
        <v>1.0638297872340428</v>
      </c>
      <c r="P270" s="175">
        <f>P269/$M$269</f>
        <v>0.79787234042553201</v>
      </c>
    </row>
    <row r="271" spans="1:18" ht="16.5" customHeight="1" x14ac:dyDescent="0.2">
      <c r="A271" s="87"/>
      <c r="B271" s="175"/>
      <c r="C271" s="175"/>
      <c r="D271" s="175"/>
      <c r="E271" s="175"/>
      <c r="F271" s="175"/>
      <c r="G271" s="175"/>
      <c r="H271" s="175"/>
      <c r="I271" s="175"/>
      <c r="J271" s="175"/>
      <c r="K271" s="175"/>
      <c r="L271" s="175"/>
      <c r="M271" s="175"/>
      <c r="N271" s="175"/>
      <c r="O271" s="175"/>
      <c r="P271" s="175"/>
    </row>
    <row r="272" spans="1:18" ht="16.5" customHeight="1" x14ac:dyDescent="0.2">
      <c r="A272" s="78" t="s">
        <v>299</v>
      </c>
      <c r="B272" s="185"/>
      <c r="C272" s="2" t="s">
        <v>284</v>
      </c>
      <c r="P272" s="91" t="s">
        <v>287</v>
      </c>
      <c r="Q272" s="91" t="s">
        <v>288</v>
      </c>
      <c r="R272" s="91" t="s">
        <v>289</v>
      </c>
    </row>
    <row r="273" spans="1:22" ht="16.5" customHeight="1" x14ac:dyDescent="0.2">
      <c r="A273" s="78" t="s">
        <v>300</v>
      </c>
      <c r="B273" s="176">
        <f>IF(B272&gt;0,B272,B80+B81)</f>
        <v>0</v>
      </c>
      <c r="C273" s="3" t="s">
        <v>285</v>
      </c>
      <c r="D273" s="177" t="s">
        <v>301</v>
      </c>
      <c r="E273" s="177"/>
      <c r="F273" s="177"/>
      <c r="G273" s="177"/>
      <c r="H273" s="177"/>
      <c r="I273" s="177"/>
      <c r="J273" s="177"/>
      <c r="K273" s="177"/>
      <c r="L273" s="177"/>
      <c r="P273" s="178" t="e">
        <f>P76/$B$273*100</f>
        <v>#DIV/0!</v>
      </c>
      <c r="Q273" s="179" t="e">
        <f>Q76/$B$273*100</f>
        <v>#DIV/0!</v>
      </c>
      <c r="R273" s="180" t="e">
        <f>R76/$B$273*100</f>
        <v>#DIV/0!</v>
      </c>
      <c r="S273" s="181" t="s">
        <v>286</v>
      </c>
      <c r="U273" s="182"/>
      <c r="V273" s="182"/>
    </row>
    <row r="276" spans="1:22" ht="30.75" customHeight="1" x14ac:dyDescent="0.2">
      <c r="A276" s="75" t="s">
        <v>471</v>
      </c>
      <c r="B276" s="75" t="s">
        <v>473</v>
      </c>
      <c r="C276" s="211" t="s">
        <v>507</v>
      </c>
      <c r="D276" s="211" t="s">
        <v>508</v>
      </c>
      <c r="E276" s="211" t="s">
        <v>509</v>
      </c>
      <c r="F276" s="211" t="s">
        <v>510</v>
      </c>
      <c r="H276" s="3"/>
      <c r="I276" s="3"/>
      <c r="J276" s="3"/>
      <c r="K276" s="3"/>
      <c r="L276" s="3"/>
    </row>
    <row r="277" spans="1:22" ht="24.75" customHeight="1" x14ac:dyDescent="0.2">
      <c r="A277" s="75" t="s">
        <v>208</v>
      </c>
      <c r="B277" s="97">
        <f>SUM($J$4*D4+$J$5*D5+$J$6*D6+$J$7*D7+$J$8*D8+$J$9*D9)</f>
        <v>0</v>
      </c>
      <c r="C277" s="97">
        <f>SUM($J$4*E4+$J$5*E5+$J$6*E6+$J$7*E7+$J$8*E8+$J$9*E9)</f>
        <v>0</v>
      </c>
      <c r="D277" s="97">
        <f>SUM($J$4*F4+$J$5*F5+$J$6*F6+$J$7*F7+$J$8*F8+$J$9*F9)</f>
        <v>0</v>
      </c>
      <c r="E277" s="97">
        <f>SUM($J$4*G4+$J$5*G5+$J$6*G6+$J$7*G7+$J$8*G8+$J$9*G9)</f>
        <v>0</v>
      </c>
      <c r="F277" s="97">
        <f>SUM($J$4*H4+$J$5*H5+$J$6*H6+$J$7*H7+$J$8*H8+$J$9*H9)</f>
        <v>0</v>
      </c>
      <c r="G277" s="14"/>
      <c r="H277" s="14"/>
      <c r="I277" s="14"/>
      <c r="J277" s="3"/>
      <c r="K277" s="3"/>
      <c r="L277" s="3"/>
    </row>
    <row r="278" spans="1:22" ht="24.75" customHeight="1" x14ac:dyDescent="0.2">
      <c r="A278" s="75" t="s">
        <v>472</v>
      </c>
      <c r="B278" s="97" t="e">
        <f>SUM($K$17*F17+$K$18*F18+$K$20*F20+$K$21*F21+$K$23*F23+$K$24*F24+$K$27*F27+$K$28*F28+$K$29*F29+$K$30*F30+$K$31*F31+$K$33*F33+$K$34*F34+$K$35*F35+$K$36*F36+$K$37*F37+$K$38*F38+$K$39*F39+$K$41*F41+$K$42*F42+$K$43*F43+$K$44*F44+$K$45*F45+$K$46*F46+$K$47*F47+$K$48*F48+$K$51*F51+$K$52*F52+$K$53*F53+$K$54*F54+$K$55*F55+$K$56*F56+$K$57*F57+$K$58*F58+$K$59*F59+$K$60*F60+$K$61*F61+$K62*F62+$K$63*F63+$K$64*F64+$K$65*F65+$K$66*F66+$K$69*F69+$K$71*F71)</f>
        <v>#DIV/0!</v>
      </c>
      <c r="C278" s="97" t="e">
        <f>SUM($K$17*G17+$K$18*G18+$K$20*G20+$K$21*G21+$K$23*G23+$K$24*G24+$K$27*G27+$K$28*G28+$K$29*G29+$K$30*G30+$K$31*G31+$K$33*G33+$K$34*G34+$K$35*G35+$K$36*G36+$K$37*G37+$K$38*G38+$K$39*G39+$K$41*G41+$K$42*G42+$K$43*G43+$K$44*G44+$K$45*G45+$K$46*G46+$K$47*G47+$K$48*G48+$K$51*G51+$K$52*G52+$K$53*G53+$K$54*G54+$K$55*G55+$K$56*G56+$K$57*G57+$K$58*G58+$K$59*G59+$K$60*G60+$K$61*G61+$K62*G62+$K$63*G63+$K$64*G64+$K$65*G65+$K$66*G66+$K$69*G69+$K$71*G71)</f>
        <v>#DIV/0!</v>
      </c>
      <c r="D278" s="97" t="e">
        <f>SUM($K$17*H17+$K$18*H18+$K$20*H20+$K$21*H21+$K$23*H23+$K$24*H24+$K$27*H27+$K$28*H28+$K$29*H29+$K$30*H30+$K$31*H31+$K$33*H33+$K$34*H34+$K$35*H35+$K$36*H36+$K$37*H37+$K$38*H38+$K$39*H39+$K$41*H41+$K$42*H42+$K$43*H43+$K$44*H44+$K$45*H45+$K$46*H46+$K$47*H47+$K$48*H48+$K$51*H51+$K$52*H52+$K$53*H53+$K$54*H54+$K$55*H55+$K$56*H56+$K$57*H57+$K$58*H58+$K$59*H59+$K$60*H60+$K$61*H61+$K62*H62+$K$63*H63+$K$64*H64+$K$65*H65+$K$66*H66+$K$69*H69+$K$71*H71)</f>
        <v>#DIV/0!</v>
      </c>
      <c r="E278" s="97" t="e">
        <f>SUM($K$17*I17+$K$18*I18+$K$20*I20+$K$21*I21+$K$23*I23+$K$24*I24+$K$27*I27+$K$28*I28+$K$29*I29+$K$30*I30+$K$31*I31+$K$33*I33+$K$34*I34+$K$35*I35+$K$36*I36+$K$37*I37+$K$38*I38+$K$39*I39+$K$41*I41+$K$42*I42+$K$43*I43+$K$44*I44+$K$45*I45+$K$46*I46+$K$47*I47+$K$48*I48+$K$51*I51+$K$52*I52+$K$53*I53+$K$54*I54+$K$55*I55+$K$56*I56+$K$57*I57+$K$58*I58+$K$59*I59+$K$60*I60+$K$61*I61+$K62*I62+$K$63*I63+$K$64*I64+$K$65*I65+$K$66*I66+$K$69*I69+$K$71*I71)</f>
        <v>#DIV/0!</v>
      </c>
      <c r="F278" s="97" t="e">
        <f>SUM($K$17*J17+$K$18*J18+$K$20*J20+$K$21*J21+$K$23*J23+$K$24*J24+$K$27*J27+$K$28*J28+$K$29*J29+$K$30*J30+$K$31*J31+$K$33*J33+$K$34*J34+$K$35*J35+$K$36*J36+$K$37*J37+$K$38*J38+$K$39*J39+$K$41*J41+$K$42*J42+$K$43*J43+$K$44*J44+$K$45*J45+$K$46*J46+$K$47*J47+$K$48*J48+$K$51*J51+$K$52*J52+$K$53*J53+$K$54*J54+$K$55*J55+$K$56*J56+$K$57*J57+$K$58*J58+$K$59*J59+$K$60*J60+$K$61*J61+$K62*J62+$K$63*J63+$K$64*J64+$K$65*J65+$K$66*J66+$K$69*J69+$K$71*J71)</f>
        <v>#DIV/0!</v>
      </c>
      <c r="H278" s="3"/>
      <c r="I278" s="3"/>
      <c r="J278" s="3"/>
      <c r="K278" s="3"/>
      <c r="L278" s="3"/>
    </row>
    <row r="279" spans="1:22" ht="24.75" customHeight="1" x14ac:dyDescent="0.2"/>
    <row r="280" spans="1:22" s="188" customFormat="1" ht="16.5" customHeight="1" x14ac:dyDescent="0.2"/>
    <row r="281" spans="1:22" s="188" customFormat="1" ht="16.5" customHeight="1" x14ac:dyDescent="0.2">
      <c r="A281" s="220"/>
    </row>
    <row r="282" spans="1:22" s="188" customFormat="1" ht="16.5" customHeight="1" x14ac:dyDescent="0.2"/>
    <row r="283" spans="1:22" s="188" customFormat="1" ht="16.5" customHeight="1" x14ac:dyDescent="0.2"/>
    <row r="284" spans="1:22" s="188" customFormat="1" ht="16.5" customHeight="1" x14ac:dyDescent="0.2"/>
    <row r="285" spans="1:22" s="188" customFormat="1" ht="16.5" customHeight="1" x14ac:dyDescent="0.2"/>
    <row r="286" spans="1:22" s="188" customFormat="1" ht="16.5" hidden="1" customHeight="1" x14ac:dyDescent="0.2">
      <c r="A286" s="189" t="s">
        <v>320</v>
      </c>
      <c r="B286" s="190"/>
      <c r="C286" s="190"/>
      <c r="D286" s="190"/>
      <c r="E286" s="190"/>
      <c r="F286" s="190"/>
      <c r="G286" s="190"/>
      <c r="H286" s="190"/>
      <c r="I286" s="190"/>
      <c r="J286" s="190"/>
      <c r="K286" s="190"/>
      <c r="L286" s="190"/>
      <c r="M286" s="190"/>
      <c r="N286" s="190"/>
      <c r="O286" s="190"/>
      <c r="P286" s="190"/>
      <c r="Q286" s="191"/>
    </row>
    <row r="287" spans="1:22" s="188" customFormat="1" ht="16.5" hidden="1" customHeight="1" x14ac:dyDescent="0.2">
      <c r="A287" s="192"/>
      <c r="Q287" s="193"/>
    </row>
    <row r="288" spans="1:22" s="188" customFormat="1" ht="16.5" hidden="1" customHeight="1" x14ac:dyDescent="0.2">
      <c r="A288" s="192"/>
      <c r="Q288" s="193"/>
    </row>
    <row r="289" spans="1:21" s="188" customFormat="1" ht="16.5" hidden="1" customHeight="1" x14ac:dyDescent="0.2">
      <c r="A289" s="194" t="s">
        <v>251</v>
      </c>
      <c r="B289" s="195" t="s">
        <v>259</v>
      </c>
      <c r="C289" s="195" t="s">
        <v>260</v>
      </c>
      <c r="M289" s="195" t="s">
        <v>272</v>
      </c>
      <c r="N289" s="195"/>
      <c r="Q289" s="193"/>
    </row>
    <row r="290" spans="1:21" s="188" customFormat="1" ht="16.5" hidden="1" customHeight="1" x14ac:dyDescent="0.2">
      <c r="A290" s="192" t="s">
        <v>253</v>
      </c>
      <c r="B290" s="376">
        <v>120</v>
      </c>
      <c r="C290" s="196">
        <f>B23</f>
        <v>0</v>
      </c>
      <c r="D290" s="188" t="s">
        <v>256</v>
      </c>
      <c r="M290" s="197">
        <f>IF(C290&gt;B290,1,0)</f>
        <v>0</v>
      </c>
      <c r="N290" s="197"/>
      <c r="Q290" s="193"/>
    </row>
    <row r="291" spans="1:21" s="188" customFormat="1" ht="16.5" hidden="1" customHeight="1" x14ac:dyDescent="0.2">
      <c r="A291" s="192" t="s">
        <v>255</v>
      </c>
      <c r="B291" s="376">
        <v>500</v>
      </c>
      <c r="C291" s="196">
        <f>B20+SUM(B33:B39)/2+SUM(B51:B66)/2</f>
        <v>0</v>
      </c>
      <c r="D291" s="188" t="s">
        <v>256</v>
      </c>
      <c r="M291" s="197">
        <f>IF(C291&gt;B291,1,0)</f>
        <v>0</v>
      </c>
      <c r="N291" s="197"/>
      <c r="Q291" s="193"/>
    </row>
    <row r="292" spans="1:21" s="188" customFormat="1" ht="16.5" hidden="1" customHeight="1" x14ac:dyDescent="0.2">
      <c r="A292" s="192" t="s">
        <v>254</v>
      </c>
      <c r="B292" s="376">
        <v>200</v>
      </c>
      <c r="C292" s="196">
        <f>B18+B17/2</f>
        <v>0</v>
      </c>
      <c r="D292" s="188" t="s">
        <v>256</v>
      </c>
      <c r="M292" s="197">
        <f>IF(C292&gt;B292,1,0)</f>
        <v>0</v>
      </c>
      <c r="N292" s="197"/>
      <c r="Q292" s="193"/>
    </row>
    <row r="293" spans="1:21" s="188" customFormat="1" ht="16.5" hidden="1" customHeight="1" x14ac:dyDescent="0.2">
      <c r="A293" s="192"/>
      <c r="M293" s="198">
        <f>SUM(M290:M292)</f>
        <v>0</v>
      </c>
      <c r="N293" s="198"/>
      <c r="O293" s="188" t="s">
        <v>321</v>
      </c>
      <c r="Q293" s="193"/>
    </row>
    <row r="294" spans="1:21" s="188" customFormat="1" ht="16.5" hidden="1" customHeight="1" x14ac:dyDescent="0.2">
      <c r="A294" s="192"/>
      <c r="Q294" s="193"/>
    </row>
    <row r="295" spans="1:21" s="188" customFormat="1" ht="16.5" hidden="1" customHeight="1" x14ac:dyDescent="0.2">
      <c r="A295" s="194" t="s">
        <v>252</v>
      </c>
      <c r="B295" s="195" t="s">
        <v>259</v>
      </c>
      <c r="C295" s="195" t="s">
        <v>260</v>
      </c>
      <c r="M295" s="195" t="s">
        <v>272</v>
      </c>
      <c r="N295" s="195"/>
      <c r="Q295" s="193"/>
    </row>
    <row r="296" spans="1:21" s="188" customFormat="1" ht="16.5" hidden="1" customHeight="1" x14ac:dyDescent="0.2">
      <c r="A296" s="192" t="s">
        <v>257</v>
      </c>
      <c r="B296" s="377">
        <v>100</v>
      </c>
      <c r="C296" s="197">
        <f>B71</f>
        <v>0</v>
      </c>
      <c r="D296" s="188" t="s">
        <v>256</v>
      </c>
      <c r="M296" s="197">
        <f>IF(C296&gt;=B296,1,0)</f>
        <v>0</v>
      </c>
      <c r="N296" s="197"/>
      <c r="Q296" s="193"/>
    </row>
    <row r="297" spans="1:21" s="188" customFormat="1" ht="16.5" hidden="1" customHeight="1" x14ac:dyDescent="0.2">
      <c r="A297" s="192" t="s">
        <v>258</v>
      </c>
      <c r="B297" s="377">
        <v>500</v>
      </c>
      <c r="C297" s="197">
        <f>B69</f>
        <v>0</v>
      </c>
      <c r="D297" s="188" t="s">
        <v>256</v>
      </c>
      <c r="M297" s="197">
        <f>IF(C297&gt;=B297,1,0)</f>
        <v>0</v>
      </c>
      <c r="N297" s="197"/>
      <c r="Q297" s="193"/>
    </row>
    <row r="298" spans="1:21" s="188" customFormat="1" ht="16.5" hidden="1" customHeight="1" x14ac:dyDescent="0.2">
      <c r="A298" s="192" t="s">
        <v>40</v>
      </c>
      <c r="B298" s="377">
        <v>100</v>
      </c>
      <c r="C298" s="197">
        <f>B24+B23/2</f>
        <v>0</v>
      </c>
      <c r="D298" s="188" t="s">
        <v>256</v>
      </c>
      <c r="M298" s="197">
        <f>IF(C298&gt;=B298,1,0)</f>
        <v>0</v>
      </c>
      <c r="N298" s="197"/>
      <c r="Q298" s="193"/>
    </row>
    <row r="299" spans="1:21" s="188" customFormat="1" ht="16.5" hidden="1" customHeight="1" x14ac:dyDescent="0.2">
      <c r="A299" s="192"/>
      <c r="M299" s="198">
        <f>SUM(M296:M298)</f>
        <v>0</v>
      </c>
      <c r="N299" s="198"/>
      <c r="O299" s="188" t="s">
        <v>321</v>
      </c>
      <c r="Q299" s="193"/>
    </row>
    <row r="300" spans="1:21" s="188" customFormat="1" ht="16.5" hidden="1" customHeight="1" x14ac:dyDescent="0.2">
      <c r="A300" s="199"/>
      <c r="B300" s="200"/>
      <c r="C300" s="200"/>
      <c r="D300" s="200"/>
      <c r="E300" s="200"/>
      <c r="F300" s="200"/>
      <c r="G300" s="200"/>
      <c r="H300" s="200"/>
      <c r="I300" s="200"/>
      <c r="J300" s="200"/>
      <c r="K300" s="200"/>
      <c r="L300" s="200"/>
      <c r="M300" s="200"/>
      <c r="N300" s="200"/>
      <c r="O300" s="200"/>
      <c r="P300" s="200"/>
      <c r="Q300" s="201"/>
    </row>
    <row r="301" spans="1:21" s="188" customFormat="1" ht="16.5" hidden="1" customHeight="1" x14ac:dyDescent="0.2"/>
    <row r="302" spans="1:21" s="188" customFormat="1" ht="16.5" hidden="1" customHeight="1" x14ac:dyDescent="0.2">
      <c r="A302" s="202" t="s">
        <v>319</v>
      </c>
      <c r="B302" s="203"/>
      <c r="C302" s="203"/>
      <c r="D302" s="203"/>
      <c r="E302" s="203"/>
      <c r="F302" s="203"/>
      <c r="G302" s="203"/>
      <c r="H302" s="203"/>
      <c r="I302" s="203"/>
      <c r="J302" s="203"/>
      <c r="K302" s="203"/>
      <c r="L302" s="203"/>
      <c r="M302" s="203"/>
      <c r="N302" s="203"/>
      <c r="O302" s="203"/>
      <c r="P302" s="203"/>
      <c r="Q302" s="203"/>
      <c r="R302" s="204"/>
      <c r="S302" s="204"/>
      <c r="T302" s="204"/>
      <c r="U302" s="205"/>
    </row>
    <row r="303" spans="1:21" s="188" customFormat="1" ht="16.5" hidden="1" customHeight="1" x14ac:dyDescent="0.2">
      <c r="A303" s="192"/>
      <c r="U303" s="193"/>
    </row>
    <row r="304" spans="1:21" s="188" customFormat="1" ht="16.5" hidden="1" customHeight="1" x14ac:dyDescent="0.2">
      <c r="A304" s="194" t="s">
        <v>306</v>
      </c>
      <c r="B304" s="206" t="s">
        <v>19</v>
      </c>
      <c r="C304" s="206" t="s">
        <v>313</v>
      </c>
      <c r="D304" s="206" t="s">
        <v>292</v>
      </c>
      <c r="E304" s="206"/>
      <c r="F304" s="206"/>
      <c r="G304" s="206"/>
      <c r="H304" s="206"/>
      <c r="I304" s="206"/>
      <c r="J304" s="206"/>
      <c r="K304" s="206"/>
      <c r="L304" s="206"/>
      <c r="M304" s="206" t="s">
        <v>314</v>
      </c>
      <c r="N304" s="206"/>
      <c r="O304" s="206" t="s">
        <v>148</v>
      </c>
      <c r="P304" s="206" t="s">
        <v>315</v>
      </c>
      <c r="Q304" s="206" t="s">
        <v>318</v>
      </c>
      <c r="U304" s="193"/>
    </row>
    <row r="305" spans="1:22" s="188" customFormat="1" ht="16.5" hidden="1" customHeight="1" x14ac:dyDescent="0.2">
      <c r="A305" s="192" t="s">
        <v>307</v>
      </c>
      <c r="B305" s="378">
        <v>500</v>
      </c>
      <c r="C305" s="207"/>
      <c r="D305" s="207"/>
      <c r="E305" s="207"/>
      <c r="F305" s="207"/>
      <c r="G305" s="207"/>
      <c r="H305" s="207"/>
      <c r="I305" s="207"/>
      <c r="J305" s="207"/>
      <c r="K305" s="207"/>
      <c r="L305" s="207"/>
      <c r="M305" s="207"/>
      <c r="N305" s="207"/>
      <c r="O305" s="207"/>
      <c r="P305" s="198">
        <f>P76</f>
        <v>0</v>
      </c>
      <c r="Q305" s="195">
        <f>IF(P305&gt;B305,1,0)</f>
        <v>0</v>
      </c>
      <c r="U305" s="193"/>
    </row>
    <row r="306" spans="1:22" s="188" customFormat="1" ht="16.5" hidden="1" customHeight="1" x14ac:dyDescent="0.2">
      <c r="A306" s="192" t="s">
        <v>308</v>
      </c>
      <c r="B306" s="207"/>
      <c r="C306" s="378">
        <v>50</v>
      </c>
      <c r="D306" s="207"/>
      <c r="E306" s="207"/>
      <c r="F306" s="207"/>
      <c r="G306" s="207"/>
      <c r="H306" s="207"/>
      <c r="I306" s="207"/>
      <c r="J306" s="207"/>
      <c r="K306" s="207"/>
      <c r="L306" s="207"/>
      <c r="M306" s="207"/>
      <c r="N306" s="207"/>
      <c r="O306" s="207"/>
      <c r="P306" s="198">
        <f>MAX(Q76,R76)</f>
        <v>0</v>
      </c>
      <c r="Q306" s="195">
        <f>IF(P306&gt;C306,1,0)</f>
        <v>0</v>
      </c>
      <c r="U306" s="193"/>
    </row>
    <row r="307" spans="1:22" s="188" customFormat="1" ht="16.5" hidden="1" customHeight="1" x14ac:dyDescent="0.2">
      <c r="A307" s="192" t="s">
        <v>309</v>
      </c>
      <c r="B307" s="207"/>
      <c r="C307" s="207"/>
      <c r="D307" s="378">
        <v>500</v>
      </c>
      <c r="E307" s="378"/>
      <c r="F307" s="378"/>
      <c r="G307" s="378"/>
      <c r="H307" s="378"/>
      <c r="I307" s="378"/>
      <c r="J307" s="378"/>
      <c r="K307" s="378"/>
      <c r="L307" s="378"/>
      <c r="M307" s="207"/>
      <c r="N307" s="207"/>
      <c r="O307" s="207"/>
      <c r="P307" s="198">
        <f>O76</f>
        <v>0</v>
      </c>
      <c r="Q307" s="195">
        <f>IF(P307&gt;D307,1,0)</f>
        <v>0</v>
      </c>
      <c r="U307" s="193"/>
    </row>
    <row r="308" spans="1:22" s="188" customFormat="1" ht="16.5" hidden="1" customHeight="1" x14ac:dyDescent="0.2">
      <c r="A308" s="192" t="s">
        <v>310</v>
      </c>
      <c r="B308" s="207"/>
      <c r="C308" s="207"/>
      <c r="D308" s="207"/>
      <c r="E308" s="207"/>
      <c r="F308" s="207"/>
      <c r="G308" s="207"/>
      <c r="H308" s="207"/>
      <c r="I308" s="207"/>
      <c r="J308" s="207"/>
      <c r="K308" s="207"/>
      <c r="L308" s="207"/>
      <c r="M308" s="378">
        <v>400</v>
      </c>
      <c r="N308" s="378"/>
      <c r="O308" s="207"/>
      <c r="P308" s="195">
        <f>P73</f>
        <v>0</v>
      </c>
      <c r="Q308" s="195">
        <f>IF(P308&gt;M308,1,0)</f>
        <v>0</v>
      </c>
      <c r="U308" s="193"/>
    </row>
    <row r="309" spans="1:22" s="188" customFormat="1" ht="16.5" hidden="1" customHeight="1" x14ac:dyDescent="0.2">
      <c r="A309" s="192" t="s">
        <v>311</v>
      </c>
      <c r="B309" s="378">
        <v>3000</v>
      </c>
      <c r="C309" s="207"/>
      <c r="D309" s="207"/>
      <c r="E309" s="207"/>
      <c r="F309" s="207"/>
      <c r="G309" s="207"/>
      <c r="H309" s="207"/>
      <c r="I309" s="207"/>
      <c r="J309" s="207"/>
      <c r="K309" s="207"/>
      <c r="L309" s="207"/>
      <c r="M309" s="207"/>
      <c r="N309" s="207"/>
      <c r="O309" s="207"/>
      <c r="P309" s="208">
        <f>P76*(1+R309)</f>
        <v>0</v>
      </c>
      <c r="Q309" s="195">
        <f>IF(P309&gt;B309,1,0)</f>
        <v>0</v>
      </c>
      <c r="R309" s="379">
        <v>1</v>
      </c>
      <c r="S309" s="188" t="s">
        <v>316</v>
      </c>
      <c r="U309" s="193"/>
    </row>
    <row r="310" spans="1:22" s="188" customFormat="1" ht="16.5" hidden="1" customHeight="1" x14ac:dyDescent="0.2">
      <c r="A310" s="192" t="s">
        <v>312</v>
      </c>
      <c r="B310" s="207"/>
      <c r="C310" s="207"/>
      <c r="D310" s="207"/>
      <c r="E310" s="207"/>
      <c r="F310" s="207"/>
      <c r="G310" s="207"/>
      <c r="H310" s="207"/>
      <c r="I310" s="207"/>
      <c r="J310" s="207"/>
      <c r="K310" s="207"/>
      <c r="L310" s="207"/>
      <c r="M310" s="207"/>
      <c r="N310" s="207"/>
      <c r="O310" s="378">
        <v>6000</v>
      </c>
      <c r="P310" s="198">
        <f>B69+B71</f>
        <v>0</v>
      </c>
      <c r="Q310" s="195">
        <f>IF(P310&gt;O310,1,0)</f>
        <v>0</v>
      </c>
      <c r="U310" s="193"/>
    </row>
    <row r="311" spans="1:22" s="188" customFormat="1" ht="16.5" hidden="1" customHeight="1" x14ac:dyDescent="0.2">
      <c r="A311" s="192" t="s">
        <v>317</v>
      </c>
      <c r="B311" s="207"/>
      <c r="C311" s="207"/>
      <c r="D311" s="207"/>
      <c r="E311" s="207"/>
      <c r="F311" s="207"/>
      <c r="G311" s="207"/>
      <c r="H311" s="207"/>
      <c r="I311" s="207"/>
      <c r="J311" s="207"/>
      <c r="K311" s="207"/>
      <c r="L311" s="207"/>
      <c r="M311" s="207"/>
      <c r="N311" s="207"/>
      <c r="O311" s="378">
        <v>10000</v>
      </c>
      <c r="P311" s="198">
        <f>P310</f>
        <v>0</v>
      </c>
      <c r="Q311" s="195">
        <f>IF(P311&gt;O311,1,0)</f>
        <v>0</v>
      </c>
      <c r="U311" s="193"/>
    </row>
    <row r="312" spans="1:22" s="188" customFormat="1" ht="16.5" hidden="1" customHeight="1" x14ac:dyDescent="0.2">
      <c r="A312" s="194" t="s">
        <v>306</v>
      </c>
      <c r="Q312" s="195">
        <f>SUM(Q305:Q311)</f>
        <v>0</v>
      </c>
      <c r="R312" s="188" t="s">
        <v>321</v>
      </c>
      <c r="U312" s="193"/>
    </row>
    <row r="313" spans="1:22" s="188" customFormat="1" ht="16.5" hidden="1" customHeight="1" x14ac:dyDescent="0.2">
      <c r="A313" s="192"/>
      <c r="Q313" s="209">
        <f>Q312/COUNTA(Q305:Q311)</f>
        <v>0</v>
      </c>
      <c r="U313" s="193"/>
    </row>
    <row r="314" spans="1:22" s="188" customFormat="1" ht="16.5" hidden="1" customHeight="1" x14ac:dyDescent="0.2">
      <c r="A314" s="192"/>
      <c r="Q314" s="210">
        <f>1/7</f>
        <v>0.14285714285714285</v>
      </c>
      <c r="R314" s="188" t="s">
        <v>42</v>
      </c>
      <c r="U314" s="193"/>
    </row>
    <row r="315" spans="1:22" s="188" customFormat="1" ht="16.5" hidden="1" customHeight="1" x14ac:dyDescent="0.2">
      <c r="A315" s="192"/>
      <c r="U315" s="193"/>
    </row>
    <row r="316" spans="1:22" s="188" customFormat="1" ht="16.5" hidden="1" customHeight="1" x14ac:dyDescent="0.2">
      <c r="A316" s="192"/>
      <c r="U316" s="193"/>
    </row>
    <row r="317" spans="1:22" s="188" customFormat="1" ht="16.5" hidden="1" customHeight="1" x14ac:dyDescent="0.2">
      <c r="A317" s="199"/>
      <c r="B317" s="200"/>
      <c r="C317" s="200"/>
      <c r="D317" s="200"/>
      <c r="E317" s="200"/>
      <c r="F317" s="200"/>
      <c r="G317" s="200"/>
      <c r="H317" s="200"/>
      <c r="I317" s="200"/>
      <c r="J317" s="200"/>
      <c r="K317" s="200"/>
      <c r="L317" s="200"/>
      <c r="M317" s="200"/>
      <c r="N317" s="200"/>
      <c r="O317" s="200"/>
      <c r="P317" s="200"/>
      <c r="Q317" s="200"/>
      <c r="R317" s="200"/>
      <c r="S317" s="200"/>
      <c r="T317" s="200"/>
      <c r="U317" s="201"/>
    </row>
    <row r="318" spans="1:22" ht="16.5" customHeight="1" x14ac:dyDescent="0.2">
      <c r="A318" s="188"/>
      <c r="B318" s="188"/>
      <c r="C318" s="188"/>
      <c r="D318" s="188"/>
      <c r="E318" s="188"/>
      <c r="F318" s="188"/>
      <c r="G318" s="188"/>
      <c r="H318" s="188"/>
      <c r="I318" s="188"/>
      <c r="J318" s="188"/>
      <c r="K318" s="188"/>
      <c r="L318" s="188"/>
      <c r="M318" s="188"/>
      <c r="N318" s="188"/>
      <c r="O318" s="188"/>
      <c r="P318" s="188"/>
      <c r="Q318" s="188"/>
      <c r="R318" s="188"/>
      <c r="S318" s="188"/>
      <c r="T318" s="188"/>
      <c r="U318" s="188"/>
      <c r="V318" s="188"/>
    </row>
    <row r="319" spans="1:22" ht="16.5" customHeight="1" x14ac:dyDescent="0.2">
      <c r="A319" s="188"/>
      <c r="B319" s="188"/>
      <c r="C319" s="188"/>
      <c r="D319" s="188"/>
      <c r="E319" s="188"/>
      <c r="F319" s="188"/>
      <c r="G319" s="188"/>
      <c r="H319" s="188"/>
      <c r="I319" s="188"/>
      <c r="J319" s="188"/>
      <c r="K319" s="188"/>
      <c r="L319" s="188"/>
      <c r="M319" s="188"/>
      <c r="N319" s="188"/>
      <c r="O319" s="188"/>
      <c r="P319" s="188"/>
      <c r="Q319" s="188"/>
      <c r="R319" s="188"/>
      <c r="S319" s="188"/>
      <c r="T319" s="188"/>
      <c r="U319" s="188"/>
      <c r="V319" s="188"/>
    </row>
    <row r="320" spans="1:22" ht="16.5" customHeight="1" x14ac:dyDescent="0.2">
      <c r="A320" s="188"/>
      <c r="B320" s="188"/>
      <c r="C320" s="188"/>
      <c r="D320" s="188"/>
      <c r="E320" s="188"/>
      <c r="F320" s="188"/>
      <c r="G320" s="188"/>
      <c r="H320" s="188"/>
      <c r="I320" s="188"/>
      <c r="J320" s="188"/>
      <c r="K320" s="188"/>
      <c r="L320" s="188"/>
      <c r="M320" s="188"/>
      <c r="N320" s="188"/>
      <c r="O320" s="188"/>
      <c r="P320" s="188"/>
      <c r="Q320" s="188"/>
      <c r="R320" s="188"/>
      <c r="S320" s="188"/>
      <c r="T320" s="188"/>
      <c r="U320" s="188"/>
      <c r="V320" s="188"/>
    </row>
    <row r="321" spans="1:22" ht="16.5" customHeight="1" x14ac:dyDescent="0.2">
      <c r="A321" s="188"/>
      <c r="B321" s="188"/>
      <c r="C321" s="188"/>
      <c r="D321" s="188"/>
      <c r="E321" s="188"/>
      <c r="F321" s="188"/>
      <c r="G321" s="188"/>
      <c r="H321" s="188"/>
      <c r="I321" s="188"/>
      <c r="J321" s="188"/>
      <c r="K321" s="188"/>
      <c r="L321" s="188"/>
      <c r="M321" s="188"/>
      <c r="N321" s="188"/>
      <c r="O321" s="188"/>
      <c r="P321" s="188"/>
      <c r="Q321" s="188"/>
      <c r="R321" s="188"/>
      <c r="S321" s="188"/>
      <c r="T321" s="188"/>
      <c r="U321" s="188"/>
      <c r="V321" s="188"/>
    </row>
    <row r="322" spans="1:22" ht="16.5" customHeight="1" x14ac:dyDescent="0.2">
      <c r="A322" s="188"/>
      <c r="B322" s="188"/>
      <c r="C322" s="188"/>
      <c r="D322" s="188"/>
      <c r="E322" s="188"/>
      <c r="F322" s="188"/>
      <c r="G322" s="188"/>
      <c r="H322" s="188"/>
      <c r="I322" s="188"/>
      <c r="J322" s="188"/>
      <c r="K322" s="188"/>
      <c r="L322" s="188"/>
      <c r="M322" s="188"/>
      <c r="N322" s="188"/>
      <c r="O322" s="188"/>
      <c r="P322" s="188"/>
      <c r="Q322" s="188"/>
      <c r="R322" s="188"/>
      <c r="S322" s="188"/>
      <c r="T322" s="188"/>
      <c r="U322" s="188"/>
      <c r="V322" s="188"/>
    </row>
  </sheetData>
  <sheetProtection algorithmName="SHA-512" hashValue="+RN9q6rJtAWS0PW/p+x+qSXnf9wVOi+WaByl3T0XvawQQl5OR4M3RF5+6aWh9Rrh+Aec/MCAO6nhvbvQWRB86g==" saltValue="6RM6toSP+G/8r38ME2p0yQ==" spinCount="100000" sheet="1" objects="1" scenarios="1"/>
  <phoneticPr fontId="39" type="noConversion"/>
  <dataValidations disablePrompts="1" count="2">
    <dataValidation type="list" allowBlank="1" showInputMessage="1" showErrorMessage="1" sqref="Y17:Y18 Y71 Y27:Y31 Y20:Y21 Y51:Y67 Y33:Y48 Y69 Y23:Y24">
      <formula1>$Y$87:$Y$95</formula1>
    </dataValidation>
    <dataValidation type="list" allowBlank="1" showInputMessage="1" showErrorMessage="1" sqref="Z17:Z18 Z71 Z69 Z51:Z67 Z33:Z48 Z27:Z31 Z20:Z21 Z23:Z24">
      <formula1>$Z$87:$Z$92</formula1>
    </dataValidation>
  </dataValidations>
  <pageMargins left="0.7" right="0.7" top="0.78740157499999996" bottom="0.78740157499999996" header="0.3" footer="0.3"/>
  <pageSetup paperSize="9" scale="37" orientation="landscape" r:id="rId1"/>
  <headerFooter>
    <oddFooter>&amp;L&amp;F/&amp;A&amp;C&amp;D&amp;RSeite &amp;P von &amp;N</oddFooter>
  </headerFooter>
  <rowBreaks count="1" manualBreakCount="1">
    <brk id="81" max="16383" man="1"/>
  </rowBreaks>
  <colBreaks count="1" manualBreakCount="1">
    <brk id="18"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N161"/>
  <sheetViews>
    <sheetView zoomScale="70" zoomScaleNormal="70" workbookViewId="0">
      <selection activeCell="O14" sqref="O14"/>
    </sheetView>
  </sheetViews>
  <sheetFormatPr baseColWidth="10" defaultColWidth="11" defaultRowHeight="14.25" x14ac:dyDescent="0.2"/>
  <cols>
    <col min="1" max="1" width="28" style="26" customWidth="1"/>
    <col min="2" max="2" width="27.125" style="58" customWidth="1"/>
    <col min="3" max="3" width="21.125" style="26" customWidth="1"/>
    <col min="4" max="11" width="21.125" style="20" customWidth="1"/>
    <col min="12" max="16384" width="11" style="20"/>
  </cols>
  <sheetData>
    <row r="1" spans="1:14" ht="34.5" x14ac:dyDescent="0.2">
      <c r="A1" s="16" t="s">
        <v>381</v>
      </c>
      <c r="B1" s="17"/>
      <c r="C1" s="18"/>
      <c r="D1" s="19"/>
      <c r="E1" s="19"/>
      <c r="F1" s="19"/>
      <c r="G1" s="19"/>
      <c r="H1" s="19"/>
      <c r="I1" s="19"/>
      <c r="J1" s="19"/>
      <c r="K1" s="19"/>
    </row>
    <row r="2" spans="1:14" ht="21.75" customHeight="1" x14ac:dyDescent="0.4">
      <c r="A2" s="21" t="s">
        <v>382</v>
      </c>
      <c r="B2" s="22" t="s">
        <v>482</v>
      </c>
      <c r="C2" s="23"/>
      <c r="D2" s="19"/>
      <c r="E2" s="19"/>
      <c r="F2" s="19"/>
      <c r="G2" s="19"/>
      <c r="H2" s="19"/>
      <c r="I2" s="19"/>
      <c r="J2" s="19"/>
      <c r="K2" s="19"/>
    </row>
    <row r="3" spans="1:14" ht="21.75" customHeight="1" x14ac:dyDescent="0.2">
      <c r="A3" s="21" t="s">
        <v>268</v>
      </c>
      <c r="B3" s="22">
        <v>2023</v>
      </c>
      <c r="C3" s="18"/>
      <c r="D3" s="19"/>
      <c r="E3" s="19"/>
      <c r="F3" s="19"/>
      <c r="G3" s="19"/>
      <c r="H3" s="19"/>
      <c r="I3" s="19"/>
      <c r="J3" s="19"/>
      <c r="K3" s="19"/>
    </row>
    <row r="4" spans="1:14" ht="15" x14ac:dyDescent="0.25">
      <c r="A4" s="24"/>
      <c r="B4" s="25"/>
    </row>
    <row r="5" spans="1:14" ht="21" customHeight="1" thickBot="1" x14ac:dyDescent="0.25">
      <c r="A5" s="410" t="s">
        <v>383</v>
      </c>
      <c r="B5" s="412" t="s">
        <v>384</v>
      </c>
      <c r="C5" s="27" t="s">
        <v>385</v>
      </c>
      <c r="D5" s="28"/>
      <c r="E5" s="28"/>
      <c r="F5" s="28"/>
      <c r="G5" s="28"/>
      <c r="H5" s="28"/>
      <c r="I5" s="28"/>
      <c r="J5" s="28"/>
      <c r="K5" s="28"/>
    </row>
    <row r="6" spans="1:14" s="32" customFormat="1" ht="68.25" customHeight="1" thickBot="1" x14ac:dyDescent="0.25">
      <c r="A6" s="410"/>
      <c r="B6" s="412"/>
      <c r="C6" s="29" t="s">
        <v>386</v>
      </c>
      <c r="D6" s="30" t="s">
        <v>387</v>
      </c>
      <c r="E6" s="30" t="s">
        <v>388</v>
      </c>
      <c r="F6" s="30" t="s">
        <v>389</v>
      </c>
      <c r="G6" s="30" t="s">
        <v>390</v>
      </c>
      <c r="H6" s="30" t="s">
        <v>391</v>
      </c>
      <c r="I6" s="30" t="s">
        <v>392</v>
      </c>
      <c r="J6" s="30" t="s">
        <v>393</v>
      </c>
      <c r="K6" s="31" t="s">
        <v>394</v>
      </c>
    </row>
    <row r="7" spans="1:14" s="36" customFormat="1" ht="22.5" customHeight="1" thickBot="1" x14ac:dyDescent="0.25">
      <c r="A7" s="411"/>
      <c r="B7" s="412"/>
      <c r="C7" s="33">
        <v>11</v>
      </c>
      <c r="D7" s="34">
        <v>12</v>
      </c>
      <c r="E7" s="34">
        <v>13</v>
      </c>
      <c r="F7" s="34">
        <v>21</v>
      </c>
      <c r="G7" s="34">
        <v>22</v>
      </c>
      <c r="H7" s="34">
        <v>23</v>
      </c>
      <c r="I7" s="34">
        <v>31</v>
      </c>
      <c r="J7" s="34">
        <v>32</v>
      </c>
      <c r="K7" s="35">
        <v>33</v>
      </c>
    </row>
    <row r="8" spans="1:14" ht="17.25" customHeight="1" thickTop="1" x14ac:dyDescent="0.2">
      <c r="A8" s="413" t="s">
        <v>395</v>
      </c>
      <c r="B8" s="37" t="s">
        <v>396</v>
      </c>
      <c r="C8" s="38">
        <v>1.2</v>
      </c>
      <c r="D8" s="39">
        <v>1.2</v>
      </c>
      <c r="E8" s="39">
        <v>1.2</v>
      </c>
      <c r="F8" s="39">
        <v>1.2</v>
      </c>
      <c r="G8" s="39">
        <v>1.2</v>
      </c>
      <c r="H8" s="39">
        <v>1.2</v>
      </c>
      <c r="I8" s="39">
        <v>1.2</v>
      </c>
      <c r="J8" s="39">
        <v>1.2</v>
      </c>
      <c r="K8" s="40">
        <v>1.2</v>
      </c>
    </row>
    <row r="9" spans="1:14" ht="17.25" customHeight="1" x14ac:dyDescent="0.2">
      <c r="A9" s="414"/>
      <c r="B9" s="41" t="s">
        <v>397</v>
      </c>
      <c r="C9" s="42">
        <v>1.2</v>
      </c>
      <c r="D9" s="43">
        <v>1.2</v>
      </c>
      <c r="E9" s="43">
        <v>1.2</v>
      </c>
      <c r="F9" s="43">
        <v>1.2</v>
      </c>
      <c r="G9" s="43">
        <v>1.2</v>
      </c>
      <c r="H9" s="43">
        <v>1.2</v>
      </c>
      <c r="I9" s="43">
        <v>1.2</v>
      </c>
      <c r="J9" s="43">
        <v>1.2</v>
      </c>
      <c r="K9" s="44">
        <v>1.2</v>
      </c>
    </row>
    <row r="10" spans="1:14" ht="17.25" customHeight="1" x14ac:dyDescent="0.2">
      <c r="A10" s="414"/>
      <c r="B10" s="41" t="s">
        <v>398</v>
      </c>
      <c r="C10" s="42">
        <v>1.4</v>
      </c>
      <c r="D10" s="43">
        <v>1.4</v>
      </c>
      <c r="E10" s="43">
        <v>1.4</v>
      </c>
      <c r="F10" s="43">
        <v>1.4</v>
      </c>
      <c r="G10" s="43">
        <v>1.4</v>
      </c>
      <c r="H10" s="43">
        <v>1.4</v>
      </c>
      <c r="I10" s="43">
        <v>1.4</v>
      </c>
      <c r="J10" s="43">
        <v>1.4</v>
      </c>
      <c r="K10" s="44">
        <v>1.4</v>
      </c>
    </row>
    <row r="11" spans="1:14" ht="17.25" customHeight="1" x14ac:dyDescent="0.2">
      <c r="A11" s="414"/>
      <c r="B11" s="41" t="s">
        <v>399</v>
      </c>
      <c r="C11" s="42">
        <v>1.7</v>
      </c>
      <c r="D11" s="43">
        <v>1.7</v>
      </c>
      <c r="E11" s="43">
        <v>1.7</v>
      </c>
      <c r="F11" s="43">
        <v>1.7</v>
      </c>
      <c r="G11" s="43">
        <v>1.7</v>
      </c>
      <c r="H11" s="43">
        <v>1.7</v>
      </c>
      <c r="I11" s="43">
        <v>1.7</v>
      </c>
      <c r="J11" s="43">
        <v>1.7</v>
      </c>
      <c r="K11" s="44">
        <v>1.7</v>
      </c>
    </row>
    <row r="12" spans="1:14" ht="17.25" customHeight="1" x14ac:dyDescent="0.2">
      <c r="A12" s="414"/>
      <c r="B12" s="41" t="s">
        <v>400</v>
      </c>
      <c r="C12" s="42">
        <v>2.1</v>
      </c>
      <c r="D12" s="43">
        <v>2.1</v>
      </c>
      <c r="E12" s="43">
        <v>2.1</v>
      </c>
      <c r="F12" s="43">
        <v>2.1</v>
      </c>
      <c r="G12" s="43">
        <v>2.1</v>
      </c>
      <c r="H12" s="43">
        <v>2.1</v>
      </c>
      <c r="I12" s="43">
        <v>2.1</v>
      </c>
      <c r="J12" s="43">
        <v>2.1</v>
      </c>
      <c r="K12" s="44">
        <v>2.1</v>
      </c>
    </row>
    <row r="13" spans="1:14" ht="17.25" customHeight="1" x14ac:dyDescent="0.2">
      <c r="A13" s="414"/>
      <c r="B13" s="41" t="s">
        <v>401</v>
      </c>
      <c r="C13" s="42">
        <v>2.5</v>
      </c>
      <c r="D13" s="43">
        <v>2.5</v>
      </c>
      <c r="E13" s="43">
        <v>2.5</v>
      </c>
      <c r="F13" s="43">
        <v>2.5</v>
      </c>
      <c r="G13" s="43">
        <v>2.5</v>
      </c>
      <c r="H13" s="43">
        <v>2.5</v>
      </c>
      <c r="I13" s="43">
        <v>2.5</v>
      </c>
      <c r="J13" s="43">
        <v>2.5</v>
      </c>
      <c r="K13" s="44">
        <v>2.5</v>
      </c>
    </row>
    <row r="14" spans="1:14" ht="17.25" customHeight="1" x14ac:dyDescent="0.2">
      <c r="A14" s="414"/>
      <c r="B14" s="41" t="s">
        <v>402</v>
      </c>
      <c r="C14" s="42">
        <v>2.7</v>
      </c>
      <c r="D14" s="43">
        <v>2.7</v>
      </c>
      <c r="E14" s="43">
        <v>2.7</v>
      </c>
      <c r="F14" s="43">
        <v>2.7</v>
      </c>
      <c r="G14" s="43">
        <v>2.7</v>
      </c>
      <c r="H14" s="43">
        <v>2.7</v>
      </c>
      <c r="I14" s="43">
        <v>2.7</v>
      </c>
      <c r="J14" s="43">
        <v>2.7</v>
      </c>
      <c r="K14" s="44">
        <v>2.7</v>
      </c>
    </row>
    <row r="15" spans="1:14" ht="17.25" customHeight="1" thickBot="1" x14ac:dyDescent="0.25">
      <c r="A15" s="415"/>
      <c r="B15" s="45" t="s">
        <v>403</v>
      </c>
      <c r="C15" s="46">
        <v>3</v>
      </c>
      <c r="D15" s="47">
        <v>3</v>
      </c>
      <c r="E15" s="47">
        <v>3</v>
      </c>
      <c r="F15" s="47">
        <v>3</v>
      </c>
      <c r="G15" s="47">
        <v>3</v>
      </c>
      <c r="H15" s="47">
        <v>3</v>
      </c>
      <c r="I15" s="47">
        <v>3</v>
      </c>
      <c r="J15" s="47">
        <v>3</v>
      </c>
      <c r="K15" s="48">
        <v>3</v>
      </c>
    </row>
    <row r="16" spans="1:14" ht="17.25" customHeight="1" thickTop="1" x14ac:dyDescent="0.2">
      <c r="A16" s="416" t="s">
        <v>404</v>
      </c>
      <c r="B16" s="49">
        <v>1</v>
      </c>
      <c r="C16" s="50">
        <v>1.1000000000000001</v>
      </c>
      <c r="D16" s="51">
        <v>1.1000000000000001</v>
      </c>
      <c r="E16" s="51">
        <v>1.1000000000000001</v>
      </c>
      <c r="F16" s="51">
        <v>1.1000000000000001</v>
      </c>
      <c r="G16" s="51">
        <v>1.1000000000000001</v>
      </c>
      <c r="H16" s="51">
        <v>1.1000000000000001</v>
      </c>
      <c r="I16" s="51">
        <v>1.1000000000000001</v>
      </c>
      <c r="J16" s="51">
        <v>1.1000000000000001</v>
      </c>
      <c r="K16" s="52">
        <v>1.1000000000000001</v>
      </c>
      <c r="N16" s="53"/>
    </row>
    <row r="17" spans="1:11" ht="17.25" customHeight="1" x14ac:dyDescent="0.2">
      <c r="A17" s="414"/>
      <c r="B17" s="41">
        <v>2</v>
      </c>
      <c r="C17" s="42">
        <v>1.3</v>
      </c>
      <c r="D17" s="43">
        <v>1.3</v>
      </c>
      <c r="E17" s="43">
        <v>1.3</v>
      </c>
      <c r="F17" s="43">
        <v>1.3</v>
      </c>
      <c r="G17" s="43">
        <v>1.3</v>
      </c>
      <c r="H17" s="43">
        <v>1.3</v>
      </c>
      <c r="I17" s="43">
        <v>1.3</v>
      </c>
      <c r="J17" s="43">
        <v>1.3</v>
      </c>
      <c r="K17" s="44">
        <v>1.3</v>
      </c>
    </row>
    <row r="18" spans="1:11" ht="17.25" customHeight="1" x14ac:dyDescent="0.2">
      <c r="A18" s="414"/>
      <c r="B18" s="41">
        <v>3</v>
      </c>
      <c r="C18" s="42">
        <v>1.8</v>
      </c>
      <c r="D18" s="43">
        <v>1.8</v>
      </c>
      <c r="E18" s="43">
        <v>1.8</v>
      </c>
      <c r="F18" s="43">
        <v>1.8</v>
      </c>
      <c r="G18" s="43">
        <v>1.8</v>
      </c>
      <c r="H18" s="43">
        <v>1.8</v>
      </c>
      <c r="I18" s="43">
        <v>1.8</v>
      </c>
      <c r="J18" s="43">
        <v>1.8</v>
      </c>
      <c r="K18" s="44">
        <v>1.8</v>
      </c>
    </row>
    <row r="19" spans="1:11" ht="17.25" customHeight="1" x14ac:dyDescent="0.2">
      <c r="A19" s="414"/>
      <c r="B19" s="41">
        <v>4</v>
      </c>
      <c r="C19" s="42">
        <v>2.5</v>
      </c>
      <c r="D19" s="43">
        <v>2.5</v>
      </c>
      <c r="E19" s="43">
        <v>2.5</v>
      </c>
      <c r="F19" s="43">
        <v>2.5</v>
      </c>
      <c r="G19" s="43">
        <v>2.5</v>
      </c>
      <c r="H19" s="43">
        <v>2.5</v>
      </c>
      <c r="I19" s="43">
        <v>2.5</v>
      </c>
      <c r="J19" s="43">
        <v>2.5</v>
      </c>
      <c r="K19" s="44">
        <v>2.5</v>
      </c>
    </row>
    <row r="20" spans="1:11" ht="17.25" customHeight="1" x14ac:dyDescent="0.2">
      <c r="A20" s="414"/>
      <c r="B20" s="41">
        <v>5</v>
      </c>
      <c r="C20" s="42">
        <v>2.9</v>
      </c>
      <c r="D20" s="43">
        <v>2.9</v>
      </c>
      <c r="E20" s="43">
        <v>2.9</v>
      </c>
      <c r="F20" s="43">
        <v>2.9</v>
      </c>
      <c r="G20" s="43">
        <v>2.9</v>
      </c>
      <c r="H20" s="43">
        <v>2.9</v>
      </c>
      <c r="I20" s="43">
        <v>2.9</v>
      </c>
      <c r="J20" s="43">
        <v>2.9</v>
      </c>
      <c r="K20" s="44">
        <v>2.9</v>
      </c>
    </row>
    <row r="21" spans="1:11" ht="17.25" customHeight="1" thickBot="1" x14ac:dyDescent="0.25">
      <c r="A21" s="415"/>
      <c r="B21" s="45" t="s">
        <v>405</v>
      </c>
      <c r="C21" s="46">
        <v>3.1</v>
      </c>
      <c r="D21" s="47">
        <v>3.1</v>
      </c>
      <c r="E21" s="47">
        <v>3.1</v>
      </c>
      <c r="F21" s="47">
        <v>3.1</v>
      </c>
      <c r="G21" s="47">
        <v>3.1</v>
      </c>
      <c r="H21" s="47">
        <v>3.1</v>
      </c>
      <c r="I21" s="47">
        <v>3.1</v>
      </c>
      <c r="J21" s="47">
        <v>3.1</v>
      </c>
      <c r="K21" s="48">
        <v>3.1</v>
      </c>
    </row>
    <row r="22" spans="1:11" ht="17.25" customHeight="1" thickTop="1" x14ac:dyDescent="0.2">
      <c r="A22" s="417" t="s">
        <v>498</v>
      </c>
      <c r="B22" s="54" t="s">
        <v>105</v>
      </c>
      <c r="C22" s="42">
        <v>120</v>
      </c>
      <c r="D22" s="55">
        <f>$C$22*D77</f>
        <v>156</v>
      </c>
      <c r="E22" s="55">
        <f t="shared" ref="E22:K22" si="0">$C$22*E77</f>
        <v>216</v>
      </c>
      <c r="F22" s="55">
        <f t="shared" si="0"/>
        <v>180</v>
      </c>
      <c r="G22" s="55">
        <f t="shared" si="0"/>
        <v>264</v>
      </c>
      <c r="H22" s="55">
        <f t="shared" si="0"/>
        <v>300</v>
      </c>
      <c r="I22" s="55">
        <f t="shared" si="0"/>
        <v>300</v>
      </c>
      <c r="J22" s="55">
        <f t="shared" si="0"/>
        <v>324</v>
      </c>
      <c r="K22" s="55">
        <f t="shared" si="0"/>
        <v>324</v>
      </c>
    </row>
    <row r="23" spans="1:11" ht="17.25" customHeight="1" x14ac:dyDescent="0.2">
      <c r="A23" s="418"/>
      <c r="B23" s="56" t="s">
        <v>106</v>
      </c>
      <c r="C23" s="42">
        <v>300</v>
      </c>
      <c r="D23" s="57">
        <f t="shared" ref="D23" si="1">$C23*$D$77</f>
        <v>390</v>
      </c>
      <c r="E23" s="57">
        <f t="shared" ref="E23:E24" si="2">$C23*$E$77</f>
        <v>540</v>
      </c>
      <c r="F23" s="57">
        <f t="shared" ref="F23:F24" si="3">$C23*$F$77</f>
        <v>450</v>
      </c>
      <c r="G23" s="57">
        <f t="shared" ref="G23:G24" si="4">$C23*$G$77</f>
        <v>660</v>
      </c>
      <c r="H23" s="57">
        <f t="shared" ref="H23:H24" si="5">$C23*$H$77</f>
        <v>750</v>
      </c>
      <c r="I23" s="57">
        <f t="shared" ref="I23:I24" si="6">$C23*$I$77</f>
        <v>750</v>
      </c>
      <c r="J23" s="57">
        <f t="shared" ref="J23:J24" si="7">$C23*$J$77</f>
        <v>810</v>
      </c>
      <c r="K23" s="57">
        <f t="shared" ref="K23:K24" si="8">$C23*$K$77</f>
        <v>810</v>
      </c>
    </row>
    <row r="24" spans="1:11" ht="17.25" customHeight="1" x14ac:dyDescent="0.2">
      <c r="A24" s="418"/>
      <c r="B24" s="56" t="s">
        <v>107</v>
      </c>
      <c r="C24" s="42">
        <v>25</v>
      </c>
      <c r="D24" s="57">
        <f>$C24*$D$77</f>
        <v>32.5</v>
      </c>
      <c r="E24" s="57">
        <f t="shared" si="2"/>
        <v>45</v>
      </c>
      <c r="F24" s="57">
        <f t="shared" si="3"/>
        <v>37.5</v>
      </c>
      <c r="G24" s="57">
        <f t="shared" si="4"/>
        <v>55.000000000000007</v>
      </c>
      <c r="H24" s="57">
        <f t="shared" si="5"/>
        <v>62.5</v>
      </c>
      <c r="I24" s="57">
        <f t="shared" si="6"/>
        <v>62.5</v>
      </c>
      <c r="J24" s="57">
        <f t="shared" si="7"/>
        <v>67.5</v>
      </c>
      <c r="K24" s="57">
        <f t="shared" si="8"/>
        <v>67.5</v>
      </c>
    </row>
    <row r="25" spans="1:11" ht="28.5" x14ac:dyDescent="0.2">
      <c r="A25" s="418"/>
      <c r="B25" s="56" t="s">
        <v>108</v>
      </c>
      <c r="C25" s="42">
        <v>25</v>
      </c>
      <c r="D25" s="57">
        <f>$C25*$D$77</f>
        <v>32.5</v>
      </c>
      <c r="E25" s="57">
        <f>$C25*$E$77</f>
        <v>45</v>
      </c>
      <c r="F25" s="57">
        <f>$C25*$F$77</f>
        <v>37.5</v>
      </c>
      <c r="G25" s="57">
        <f>$C25*$G$77</f>
        <v>55.000000000000007</v>
      </c>
      <c r="H25" s="57">
        <f>$C25*$H$77</f>
        <v>62.5</v>
      </c>
      <c r="I25" s="57">
        <f>$C25*$I$77</f>
        <v>62.5</v>
      </c>
      <c r="J25" s="57">
        <f>$C25*$J$77</f>
        <v>67.5</v>
      </c>
      <c r="K25" s="57">
        <f>$C25*$K$77</f>
        <v>67.5</v>
      </c>
    </row>
    <row r="26" spans="1:11" s="32" customFormat="1" ht="17.25" customHeight="1" x14ac:dyDescent="0.2">
      <c r="A26" s="418"/>
      <c r="B26" s="56" t="s">
        <v>109</v>
      </c>
      <c r="C26" s="42">
        <v>25</v>
      </c>
      <c r="D26" s="57">
        <f t="shared" ref="D26:D74" si="9">$C26*$D$77</f>
        <v>32.5</v>
      </c>
      <c r="E26" s="57">
        <f t="shared" ref="E26:E74" si="10">$C26*$E$77</f>
        <v>45</v>
      </c>
      <c r="F26" s="57">
        <f t="shared" ref="F26:F74" si="11">$C26*$F$77</f>
        <v>37.5</v>
      </c>
      <c r="G26" s="57">
        <f t="shared" ref="G26:G74" si="12">$C26*$G$77</f>
        <v>55.000000000000007</v>
      </c>
      <c r="H26" s="57">
        <f t="shared" ref="H26:H74" si="13">$C26*$H$77</f>
        <v>62.5</v>
      </c>
      <c r="I26" s="57">
        <f t="shared" ref="I26:I74" si="14">$C26*$I$77</f>
        <v>62.5</v>
      </c>
      <c r="J26" s="57">
        <f t="shared" ref="J26:J74" si="15">$C26*$J$77</f>
        <v>67.5</v>
      </c>
      <c r="K26" s="57">
        <f t="shared" ref="K26:K74" si="16">$C26*$K$77</f>
        <v>67.5</v>
      </c>
    </row>
    <row r="27" spans="1:11" ht="17.25" customHeight="1" x14ac:dyDescent="0.2">
      <c r="A27" s="418"/>
      <c r="B27" s="56" t="s">
        <v>22</v>
      </c>
      <c r="C27" s="42">
        <v>40</v>
      </c>
      <c r="D27" s="57">
        <f t="shared" si="9"/>
        <v>52</v>
      </c>
      <c r="E27" s="57">
        <f t="shared" si="10"/>
        <v>72</v>
      </c>
      <c r="F27" s="57">
        <f t="shared" si="11"/>
        <v>60</v>
      </c>
      <c r="G27" s="57">
        <f t="shared" si="12"/>
        <v>88</v>
      </c>
      <c r="H27" s="57">
        <f t="shared" si="13"/>
        <v>100</v>
      </c>
      <c r="I27" s="57">
        <f t="shared" si="14"/>
        <v>100</v>
      </c>
      <c r="J27" s="57">
        <f t="shared" si="15"/>
        <v>108</v>
      </c>
      <c r="K27" s="57">
        <f t="shared" si="16"/>
        <v>108</v>
      </c>
    </row>
    <row r="28" spans="1:11" ht="41.45" customHeight="1" x14ac:dyDescent="0.2">
      <c r="A28" s="418"/>
      <c r="B28" s="56" t="s">
        <v>281</v>
      </c>
      <c r="C28" s="42">
        <v>30</v>
      </c>
      <c r="D28" s="57">
        <f t="shared" si="9"/>
        <v>39</v>
      </c>
      <c r="E28" s="57">
        <f t="shared" si="10"/>
        <v>54</v>
      </c>
      <c r="F28" s="57">
        <f t="shared" si="11"/>
        <v>45</v>
      </c>
      <c r="G28" s="57">
        <f t="shared" si="12"/>
        <v>66</v>
      </c>
      <c r="H28" s="57">
        <f t="shared" si="13"/>
        <v>75</v>
      </c>
      <c r="I28" s="57">
        <f t="shared" si="14"/>
        <v>75</v>
      </c>
      <c r="J28" s="57">
        <f t="shared" si="15"/>
        <v>81</v>
      </c>
      <c r="K28" s="57">
        <f t="shared" si="16"/>
        <v>81</v>
      </c>
    </row>
    <row r="29" spans="1:11" ht="17.25" customHeight="1" x14ac:dyDescent="0.2">
      <c r="A29" s="418"/>
      <c r="B29" s="56" t="s">
        <v>110</v>
      </c>
      <c r="C29" s="42">
        <v>60</v>
      </c>
      <c r="D29" s="57">
        <f t="shared" si="9"/>
        <v>78</v>
      </c>
      <c r="E29" s="57">
        <f t="shared" si="10"/>
        <v>108</v>
      </c>
      <c r="F29" s="57">
        <f t="shared" si="11"/>
        <v>90</v>
      </c>
      <c r="G29" s="57">
        <f t="shared" si="12"/>
        <v>132</v>
      </c>
      <c r="H29" s="57">
        <f t="shared" si="13"/>
        <v>150</v>
      </c>
      <c r="I29" s="57">
        <f t="shared" si="14"/>
        <v>150</v>
      </c>
      <c r="J29" s="57">
        <f t="shared" si="15"/>
        <v>162</v>
      </c>
      <c r="K29" s="57">
        <f t="shared" si="16"/>
        <v>162</v>
      </c>
    </row>
    <row r="30" spans="1:11" ht="17.25" customHeight="1" x14ac:dyDescent="0.2">
      <c r="A30" s="418"/>
      <c r="B30" s="56" t="s">
        <v>23</v>
      </c>
      <c r="C30" s="42">
        <v>100</v>
      </c>
      <c r="D30" s="57">
        <f t="shared" si="9"/>
        <v>130</v>
      </c>
      <c r="E30" s="57">
        <f t="shared" si="10"/>
        <v>180</v>
      </c>
      <c r="F30" s="57">
        <f t="shared" si="11"/>
        <v>150</v>
      </c>
      <c r="G30" s="57">
        <f t="shared" si="12"/>
        <v>220.00000000000003</v>
      </c>
      <c r="H30" s="57">
        <f t="shared" si="13"/>
        <v>250</v>
      </c>
      <c r="I30" s="57">
        <f t="shared" si="14"/>
        <v>250</v>
      </c>
      <c r="J30" s="57">
        <f t="shared" si="15"/>
        <v>270</v>
      </c>
      <c r="K30" s="57">
        <f t="shared" si="16"/>
        <v>270</v>
      </c>
    </row>
    <row r="31" spans="1:11" ht="17.25" customHeight="1" x14ac:dyDescent="0.2">
      <c r="A31" s="418"/>
      <c r="B31" s="56" t="s">
        <v>24</v>
      </c>
      <c r="C31" s="42">
        <v>100</v>
      </c>
      <c r="D31" s="57">
        <f t="shared" si="9"/>
        <v>130</v>
      </c>
      <c r="E31" s="57">
        <f t="shared" si="10"/>
        <v>180</v>
      </c>
      <c r="F31" s="57">
        <f t="shared" si="11"/>
        <v>150</v>
      </c>
      <c r="G31" s="57">
        <f t="shared" si="12"/>
        <v>220.00000000000003</v>
      </c>
      <c r="H31" s="57">
        <f t="shared" si="13"/>
        <v>250</v>
      </c>
      <c r="I31" s="57">
        <f t="shared" si="14"/>
        <v>250</v>
      </c>
      <c r="J31" s="57">
        <f t="shared" si="15"/>
        <v>270</v>
      </c>
      <c r="K31" s="57">
        <f t="shared" si="16"/>
        <v>270</v>
      </c>
    </row>
    <row r="32" spans="1:11" ht="17.25" customHeight="1" x14ac:dyDescent="0.2">
      <c r="A32" s="418"/>
      <c r="B32" s="56" t="s">
        <v>111</v>
      </c>
      <c r="C32" s="42">
        <v>100</v>
      </c>
      <c r="D32" s="57">
        <f t="shared" si="9"/>
        <v>130</v>
      </c>
      <c r="E32" s="57">
        <f t="shared" si="10"/>
        <v>180</v>
      </c>
      <c r="F32" s="57">
        <f t="shared" si="11"/>
        <v>150</v>
      </c>
      <c r="G32" s="57">
        <f t="shared" si="12"/>
        <v>220.00000000000003</v>
      </c>
      <c r="H32" s="57">
        <f t="shared" si="13"/>
        <v>250</v>
      </c>
      <c r="I32" s="57">
        <f t="shared" si="14"/>
        <v>250</v>
      </c>
      <c r="J32" s="57">
        <f t="shared" si="15"/>
        <v>270</v>
      </c>
      <c r="K32" s="57">
        <f t="shared" si="16"/>
        <v>270</v>
      </c>
    </row>
    <row r="33" spans="1:11" ht="17.25" customHeight="1" x14ac:dyDescent="0.2">
      <c r="A33" s="418"/>
      <c r="B33" s="56" t="s">
        <v>112</v>
      </c>
      <c r="C33" s="42">
        <v>100</v>
      </c>
      <c r="D33" s="57">
        <f t="shared" si="9"/>
        <v>130</v>
      </c>
      <c r="E33" s="57">
        <f t="shared" si="10"/>
        <v>180</v>
      </c>
      <c r="F33" s="57">
        <f t="shared" si="11"/>
        <v>150</v>
      </c>
      <c r="G33" s="57">
        <f t="shared" si="12"/>
        <v>220.00000000000003</v>
      </c>
      <c r="H33" s="57">
        <f t="shared" si="13"/>
        <v>250</v>
      </c>
      <c r="I33" s="57">
        <f t="shared" si="14"/>
        <v>250</v>
      </c>
      <c r="J33" s="57">
        <f t="shared" si="15"/>
        <v>270</v>
      </c>
      <c r="K33" s="57">
        <f t="shared" si="16"/>
        <v>270</v>
      </c>
    </row>
    <row r="34" spans="1:11" ht="17.25" customHeight="1" x14ac:dyDescent="0.2">
      <c r="A34" s="418"/>
      <c r="B34" s="56" t="s">
        <v>113</v>
      </c>
      <c r="C34" s="42">
        <v>100</v>
      </c>
      <c r="D34" s="57">
        <f t="shared" si="9"/>
        <v>130</v>
      </c>
      <c r="E34" s="57">
        <f t="shared" si="10"/>
        <v>180</v>
      </c>
      <c r="F34" s="57">
        <f t="shared" si="11"/>
        <v>150</v>
      </c>
      <c r="G34" s="57">
        <f t="shared" si="12"/>
        <v>220.00000000000003</v>
      </c>
      <c r="H34" s="57">
        <f t="shared" si="13"/>
        <v>250</v>
      </c>
      <c r="I34" s="57">
        <f t="shared" si="14"/>
        <v>250</v>
      </c>
      <c r="J34" s="57">
        <f t="shared" si="15"/>
        <v>270</v>
      </c>
      <c r="K34" s="57">
        <f t="shared" si="16"/>
        <v>270</v>
      </c>
    </row>
    <row r="35" spans="1:11" ht="28.9" customHeight="1" x14ac:dyDescent="0.2">
      <c r="A35" s="418"/>
      <c r="B35" s="56" t="s">
        <v>114</v>
      </c>
      <c r="C35" s="42">
        <v>100</v>
      </c>
      <c r="D35" s="57">
        <f t="shared" si="9"/>
        <v>130</v>
      </c>
      <c r="E35" s="57">
        <f t="shared" si="10"/>
        <v>180</v>
      </c>
      <c r="F35" s="57">
        <f t="shared" si="11"/>
        <v>150</v>
      </c>
      <c r="G35" s="57">
        <f t="shared" si="12"/>
        <v>220.00000000000003</v>
      </c>
      <c r="H35" s="57">
        <f t="shared" si="13"/>
        <v>250</v>
      </c>
      <c r="I35" s="57">
        <f t="shared" si="14"/>
        <v>250</v>
      </c>
      <c r="J35" s="57">
        <f t="shared" si="15"/>
        <v>270</v>
      </c>
      <c r="K35" s="57">
        <f t="shared" si="16"/>
        <v>270</v>
      </c>
    </row>
    <row r="36" spans="1:11" ht="17.25" customHeight="1" x14ac:dyDescent="0.2">
      <c r="A36" s="418"/>
      <c r="B36" s="56" t="s">
        <v>122</v>
      </c>
      <c r="C36" s="42">
        <v>100</v>
      </c>
      <c r="D36" s="57">
        <f t="shared" si="9"/>
        <v>130</v>
      </c>
      <c r="E36" s="57">
        <f t="shared" si="10"/>
        <v>180</v>
      </c>
      <c r="F36" s="57">
        <f t="shared" si="11"/>
        <v>150</v>
      </c>
      <c r="G36" s="57">
        <f t="shared" si="12"/>
        <v>220.00000000000003</v>
      </c>
      <c r="H36" s="57">
        <f t="shared" si="13"/>
        <v>250</v>
      </c>
      <c r="I36" s="57">
        <f t="shared" si="14"/>
        <v>250</v>
      </c>
      <c r="J36" s="57">
        <f t="shared" si="15"/>
        <v>270</v>
      </c>
      <c r="K36" s="57">
        <f t="shared" si="16"/>
        <v>270</v>
      </c>
    </row>
    <row r="37" spans="1:11" ht="17.25" customHeight="1" x14ac:dyDescent="0.2">
      <c r="A37" s="418"/>
      <c r="B37" s="56" t="s">
        <v>115</v>
      </c>
      <c r="C37" s="42">
        <v>100</v>
      </c>
      <c r="D37" s="57">
        <f t="shared" si="9"/>
        <v>130</v>
      </c>
      <c r="E37" s="57">
        <f t="shared" si="10"/>
        <v>180</v>
      </c>
      <c r="F37" s="57">
        <f t="shared" si="11"/>
        <v>150</v>
      </c>
      <c r="G37" s="57">
        <f t="shared" si="12"/>
        <v>220.00000000000003</v>
      </c>
      <c r="H37" s="57">
        <f t="shared" si="13"/>
        <v>250</v>
      </c>
      <c r="I37" s="57">
        <f t="shared" si="14"/>
        <v>250</v>
      </c>
      <c r="J37" s="57">
        <f t="shared" si="15"/>
        <v>270</v>
      </c>
      <c r="K37" s="57">
        <f t="shared" si="16"/>
        <v>270</v>
      </c>
    </row>
    <row r="38" spans="1:11" ht="17.25" customHeight="1" x14ac:dyDescent="0.2">
      <c r="A38" s="418"/>
      <c r="B38" s="56" t="s">
        <v>116</v>
      </c>
      <c r="C38" s="42">
        <v>100</v>
      </c>
      <c r="D38" s="57">
        <f t="shared" si="9"/>
        <v>130</v>
      </c>
      <c r="E38" s="57">
        <f t="shared" si="10"/>
        <v>180</v>
      </c>
      <c r="F38" s="57">
        <f t="shared" si="11"/>
        <v>150</v>
      </c>
      <c r="G38" s="57">
        <f t="shared" si="12"/>
        <v>220.00000000000003</v>
      </c>
      <c r="H38" s="57">
        <f t="shared" si="13"/>
        <v>250</v>
      </c>
      <c r="I38" s="57">
        <f t="shared" si="14"/>
        <v>250</v>
      </c>
      <c r="J38" s="57">
        <f t="shared" si="15"/>
        <v>270</v>
      </c>
      <c r="K38" s="57">
        <f t="shared" si="16"/>
        <v>270</v>
      </c>
    </row>
    <row r="39" spans="1:11" ht="28.9" customHeight="1" x14ac:dyDescent="0.2">
      <c r="A39" s="418"/>
      <c r="B39" s="56" t="s">
        <v>193</v>
      </c>
      <c r="C39" s="42">
        <v>100</v>
      </c>
      <c r="D39" s="57">
        <f t="shared" si="9"/>
        <v>130</v>
      </c>
      <c r="E39" s="57">
        <f t="shared" si="10"/>
        <v>180</v>
      </c>
      <c r="F39" s="57">
        <f t="shared" si="11"/>
        <v>150</v>
      </c>
      <c r="G39" s="57">
        <f t="shared" si="12"/>
        <v>220.00000000000003</v>
      </c>
      <c r="H39" s="57">
        <f t="shared" si="13"/>
        <v>250</v>
      </c>
      <c r="I39" s="57">
        <f t="shared" si="14"/>
        <v>250</v>
      </c>
      <c r="J39" s="57">
        <f t="shared" si="15"/>
        <v>270</v>
      </c>
      <c r="K39" s="57">
        <f t="shared" si="16"/>
        <v>270</v>
      </c>
    </row>
    <row r="40" spans="1:11" ht="17.25" customHeight="1" x14ac:dyDescent="0.2">
      <c r="A40" s="418"/>
      <c r="B40" s="56" t="s">
        <v>117</v>
      </c>
      <c r="C40" s="42">
        <v>100</v>
      </c>
      <c r="D40" s="57">
        <f t="shared" si="9"/>
        <v>130</v>
      </c>
      <c r="E40" s="57">
        <f t="shared" si="10"/>
        <v>180</v>
      </c>
      <c r="F40" s="57">
        <f t="shared" si="11"/>
        <v>150</v>
      </c>
      <c r="G40" s="57">
        <f t="shared" si="12"/>
        <v>220.00000000000003</v>
      </c>
      <c r="H40" s="57">
        <f t="shared" si="13"/>
        <v>250</v>
      </c>
      <c r="I40" s="57">
        <f t="shared" si="14"/>
        <v>250</v>
      </c>
      <c r="J40" s="57">
        <f t="shared" si="15"/>
        <v>270</v>
      </c>
      <c r="K40" s="57">
        <f t="shared" si="16"/>
        <v>270</v>
      </c>
    </row>
    <row r="41" spans="1:11" ht="17.25" customHeight="1" x14ac:dyDescent="0.2">
      <c r="A41" s="418"/>
      <c r="B41" s="56" t="s">
        <v>118</v>
      </c>
      <c r="C41" s="42">
        <v>120</v>
      </c>
      <c r="D41" s="57">
        <f t="shared" si="9"/>
        <v>156</v>
      </c>
      <c r="E41" s="57">
        <f t="shared" si="10"/>
        <v>216</v>
      </c>
      <c r="F41" s="57">
        <f t="shared" si="11"/>
        <v>180</v>
      </c>
      <c r="G41" s="57">
        <f t="shared" si="12"/>
        <v>264</v>
      </c>
      <c r="H41" s="57">
        <f t="shared" si="13"/>
        <v>300</v>
      </c>
      <c r="I41" s="57">
        <f t="shared" si="14"/>
        <v>300</v>
      </c>
      <c r="J41" s="57">
        <f t="shared" si="15"/>
        <v>324</v>
      </c>
      <c r="K41" s="57">
        <f t="shared" si="16"/>
        <v>324</v>
      </c>
    </row>
    <row r="42" spans="1:11" ht="17.25" customHeight="1" x14ac:dyDescent="0.2">
      <c r="A42" s="418"/>
      <c r="B42" s="56" t="s">
        <v>119</v>
      </c>
      <c r="C42" s="42">
        <v>100</v>
      </c>
      <c r="D42" s="57">
        <f t="shared" si="9"/>
        <v>130</v>
      </c>
      <c r="E42" s="57">
        <f t="shared" si="10"/>
        <v>180</v>
      </c>
      <c r="F42" s="57">
        <f t="shared" si="11"/>
        <v>150</v>
      </c>
      <c r="G42" s="57">
        <f t="shared" si="12"/>
        <v>220.00000000000003</v>
      </c>
      <c r="H42" s="57">
        <f t="shared" si="13"/>
        <v>250</v>
      </c>
      <c r="I42" s="57">
        <f t="shared" si="14"/>
        <v>250</v>
      </c>
      <c r="J42" s="57">
        <f t="shared" si="15"/>
        <v>270</v>
      </c>
      <c r="K42" s="57">
        <f t="shared" si="16"/>
        <v>270</v>
      </c>
    </row>
    <row r="43" spans="1:11" ht="17.25" customHeight="1" x14ac:dyDescent="0.2">
      <c r="A43" s="418"/>
      <c r="B43" s="56" t="s">
        <v>120</v>
      </c>
      <c r="C43" s="42">
        <v>100</v>
      </c>
      <c r="D43" s="57">
        <f t="shared" si="9"/>
        <v>130</v>
      </c>
      <c r="E43" s="57">
        <f t="shared" si="10"/>
        <v>180</v>
      </c>
      <c r="F43" s="57">
        <f t="shared" si="11"/>
        <v>150</v>
      </c>
      <c r="G43" s="57">
        <f t="shared" si="12"/>
        <v>220.00000000000003</v>
      </c>
      <c r="H43" s="57">
        <f t="shared" si="13"/>
        <v>250</v>
      </c>
      <c r="I43" s="57">
        <f t="shared" si="14"/>
        <v>250</v>
      </c>
      <c r="J43" s="57">
        <f t="shared" si="15"/>
        <v>270</v>
      </c>
      <c r="K43" s="57">
        <f t="shared" si="16"/>
        <v>270</v>
      </c>
    </row>
    <row r="44" spans="1:11" ht="17.25" customHeight="1" x14ac:dyDescent="0.2">
      <c r="A44" s="418"/>
      <c r="B44" s="56" t="s">
        <v>121</v>
      </c>
      <c r="C44" s="42">
        <v>100</v>
      </c>
      <c r="D44" s="57">
        <f t="shared" si="9"/>
        <v>130</v>
      </c>
      <c r="E44" s="57">
        <f t="shared" si="10"/>
        <v>180</v>
      </c>
      <c r="F44" s="57">
        <f t="shared" si="11"/>
        <v>150</v>
      </c>
      <c r="G44" s="57">
        <f t="shared" si="12"/>
        <v>220.00000000000003</v>
      </c>
      <c r="H44" s="57">
        <f t="shared" si="13"/>
        <v>250</v>
      </c>
      <c r="I44" s="57">
        <f t="shared" si="14"/>
        <v>250</v>
      </c>
      <c r="J44" s="57">
        <f t="shared" si="15"/>
        <v>270</v>
      </c>
      <c r="K44" s="57">
        <f t="shared" si="16"/>
        <v>270</v>
      </c>
    </row>
    <row r="45" spans="1:11" ht="17.25" customHeight="1" x14ac:dyDescent="0.2">
      <c r="A45" s="418"/>
      <c r="B45" s="56" t="s">
        <v>123</v>
      </c>
      <c r="C45" s="42">
        <v>100</v>
      </c>
      <c r="D45" s="57">
        <f t="shared" si="9"/>
        <v>130</v>
      </c>
      <c r="E45" s="57">
        <f t="shared" si="10"/>
        <v>180</v>
      </c>
      <c r="F45" s="57">
        <f t="shared" si="11"/>
        <v>150</v>
      </c>
      <c r="G45" s="57">
        <f t="shared" si="12"/>
        <v>220.00000000000003</v>
      </c>
      <c r="H45" s="57">
        <f t="shared" si="13"/>
        <v>250</v>
      </c>
      <c r="I45" s="57">
        <f t="shared" si="14"/>
        <v>250</v>
      </c>
      <c r="J45" s="57">
        <f t="shared" si="15"/>
        <v>270</v>
      </c>
      <c r="K45" s="57">
        <f t="shared" si="16"/>
        <v>270</v>
      </c>
    </row>
    <row r="46" spans="1:11" ht="17.25" customHeight="1" x14ac:dyDescent="0.2">
      <c r="A46" s="418"/>
      <c r="B46" s="56" t="s">
        <v>495</v>
      </c>
      <c r="C46" s="42">
        <v>100</v>
      </c>
      <c r="D46" s="57">
        <f t="shared" si="9"/>
        <v>130</v>
      </c>
      <c r="E46" s="57">
        <f t="shared" si="10"/>
        <v>180</v>
      </c>
      <c r="F46" s="57">
        <f t="shared" si="11"/>
        <v>150</v>
      </c>
      <c r="G46" s="57">
        <f t="shared" si="12"/>
        <v>220.00000000000003</v>
      </c>
      <c r="H46" s="57">
        <f t="shared" si="13"/>
        <v>250</v>
      </c>
      <c r="I46" s="57">
        <f t="shared" si="14"/>
        <v>250</v>
      </c>
      <c r="J46" s="57">
        <f t="shared" si="15"/>
        <v>270</v>
      </c>
      <c r="K46" s="57">
        <f t="shared" si="16"/>
        <v>270</v>
      </c>
    </row>
    <row r="47" spans="1:11" ht="17.25" customHeight="1" x14ac:dyDescent="0.2">
      <c r="A47" s="418"/>
      <c r="B47" s="56" t="s">
        <v>125</v>
      </c>
      <c r="C47" s="42">
        <v>100</v>
      </c>
      <c r="D47" s="57">
        <f t="shared" si="9"/>
        <v>130</v>
      </c>
      <c r="E47" s="57">
        <f t="shared" si="10"/>
        <v>180</v>
      </c>
      <c r="F47" s="57">
        <f t="shared" si="11"/>
        <v>150</v>
      </c>
      <c r="G47" s="57">
        <f t="shared" si="12"/>
        <v>220.00000000000003</v>
      </c>
      <c r="H47" s="57">
        <f t="shared" si="13"/>
        <v>250</v>
      </c>
      <c r="I47" s="57">
        <f t="shared" si="14"/>
        <v>250</v>
      </c>
      <c r="J47" s="57">
        <f t="shared" si="15"/>
        <v>270</v>
      </c>
      <c r="K47" s="57">
        <f t="shared" si="16"/>
        <v>270</v>
      </c>
    </row>
    <row r="48" spans="1:11" ht="17.25" customHeight="1" x14ac:dyDescent="0.2">
      <c r="A48" s="418"/>
      <c r="B48" s="56" t="s">
        <v>126</v>
      </c>
      <c r="C48" s="42">
        <v>100</v>
      </c>
      <c r="D48" s="57">
        <f t="shared" si="9"/>
        <v>130</v>
      </c>
      <c r="E48" s="57">
        <f t="shared" si="10"/>
        <v>180</v>
      </c>
      <c r="F48" s="57">
        <f t="shared" si="11"/>
        <v>150</v>
      </c>
      <c r="G48" s="57">
        <f t="shared" si="12"/>
        <v>220.00000000000003</v>
      </c>
      <c r="H48" s="57">
        <f t="shared" si="13"/>
        <v>250</v>
      </c>
      <c r="I48" s="57">
        <f t="shared" si="14"/>
        <v>250</v>
      </c>
      <c r="J48" s="57">
        <f t="shared" si="15"/>
        <v>270</v>
      </c>
      <c r="K48" s="57">
        <f t="shared" si="16"/>
        <v>270</v>
      </c>
    </row>
    <row r="49" spans="1:11" ht="17.25" customHeight="1" x14ac:dyDescent="0.2">
      <c r="A49" s="418"/>
      <c r="B49" s="56" t="s">
        <v>127</v>
      </c>
      <c r="C49" s="42">
        <v>100</v>
      </c>
      <c r="D49" s="57">
        <f t="shared" si="9"/>
        <v>130</v>
      </c>
      <c r="E49" s="57">
        <f t="shared" si="10"/>
        <v>180</v>
      </c>
      <c r="F49" s="57">
        <f t="shared" si="11"/>
        <v>150</v>
      </c>
      <c r="G49" s="57">
        <f t="shared" si="12"/>
        <v>220.00000000000003</v>
      </c>
      <c r="H49" s="57">
        <f t="shared" si="13"/>
        <v>250</v>
      </c>
      <c r="I49" s="57">
        <f t="shared" si="14"/>
        <v>250</v>
      </c>
      <c r="J49" s="57">
        <f t="shared" si="15"/>
        <v>270</v>
      </c>
      <c r="K49" s="57">
        <f t="shared" si="16"/>
        <v>270</v>
      </c>
    </row>
    <row r="50" spans="1:11" ht="17.25" customHeight="1" x14ac:dyDescent="0.2">
      <c r="A50" s="418"/>
      <c r="B50" s="56" t="s">
        <v>128</v>
      </c>
      <c r="C50" s="42">
        <v>100</v>
      </c>
      <c r="D50" s="57">
        <f t="shared" si="9"/>
        <v>130</v>
      </c>
      <c r="E50" s="57">
        <f t="shared" si="10"/>
        <v>180</v>
      </c>
      <c r="F50" s="57">
        <f t="shared" si="11"/>
        <v>150</v>
      </c>
      <c r="G50" s="57">
        <f t="shared" si="12"/>
        <v>220.00000000000003</v>
      </c>
      <c r="H50" s="57">
        <f t="shared" si="13"/>
        <v>250</v>
      </c>
      <c r="I50" s="57">
        <f t="shared" si="14"/>
        <v>250</v>
      </c>
      <c r="J50" s="57">
        <f t="shared" si="15"/>
        <v>270</v>
      </c>
      <c r="K50" s="57">
        <f t="shared" si="16"/>
        <v>270</v>
      </c>
    </row>
    <row r="51" spans="1:11" ht="37.15" customHeight="1" x14ac:dyDescent="0.2">
      <c r="A51" s="418"/>
      <c r="B51" s="56" t="s">
        <v>129</v>
      </c>
      <c r="C51" s="42">
        <v>100</v>
      </c>
      <c r="D51" s="57">
        <f t="shared" si="9"/>
        <v>130</v>
      </c>
      <c r="E51" s="57">
        <f t="shared" si="10"/>
        <v>180</v>
      </c>
      <c r="F51" s="57">
        <f t="shared" si="11"/>
        <v>150</v>
      </c>
      <c r="G51" s="57">
        <f t="shared" si="12"/>
        <v>220.00000000000003</v>
      </c>
      <c r="H51" s="57">
        <f t="shared" si="13"/>
        <v>250</v>
      </c>
      <c r="I51" s="57">
        <f t="shared" si="14"/>
        <v>250</v>
      </c>
      <c r="J51" s="57">
        <f t="shared" si="15"/>
        <v>270</v>
      </c>
      <c r="K51" s="57">
        <f t="shared" si="16"/>
        <v>270</v>
      </c>
    </row>
    <row r="52" spans="1:11" ht="17.25" customHeight="1" x14ac:dyDescent="0.2">
      <c r="A52" s="418"/>
      <c r="B52" s="56" t="s">
        <v>130</v>
      </c>
      <c r="C52" s="42">
        <v>100</v>
      </c>
      <c r="D52" s="57">
        <f t="shared" si="9"/>
        <v>130</v>
      </c>
      <c r="E52" s="57">
        <f t="shared" si="10"/>
        <v>180</v>
      </c>
      <c r="F52" s="57">
        <f t="shared" si="11"/>
        <v>150</v>
      </c>
      <c r="G52" s="57">
        <f t="shared" si="12"/>
        <v>220.00000000000003</v>
      </c>
      <c r="H52" s="57">
        <f t="shared" si="13"/>
        <v>250</v>
      </c>
      <c r="I52" s="57">
        <f t="shared" si="14"/>
        <v>250</v>
      </c>
      <c r="J52" s="57">
        <f t="shared" si="15"/>
        <v>270</v>
      </c>
      <c r="K52" s="57">
        <f t="shared" si="16"/>
        <v>270</v>
      </c>
    </row>
    <row r="53" spans="1:11" ht="17.25" customHeight="1" x14ac:dyDescent="0.2">
      <c r="A53" s="418"/>
      <c r="B53" s="56" t="s">
        <v>131</v>
      </c>
      <c r="C53" s="42">
        <v>100</v>
      </c>
      <c r="D53" s="57">
        <f t="shared" si="9"/>
        <v>130</v>
      </c>
      <c r="E53" s="57">
        <f t="shared" si="10"/>
        <v>180</v>
      </c>
      <c r="F53" s="57">
        <f t="shared" si="11"/>
        <v>150</v>
      </c>
      <c r="G53" s="57">
        <f t="shared" si="12"/>
        <v>220.00000000000003</v>
      </c>
      <c r="H53" s="57">
        <f t="shared" si="13"/>
        <v>250</v>
      </c>
      <c r="I53" s="57">
        <f t="shared" si="14"/>
        <v>250</v>
      </c>
      <c r="J53" s="57">
        <f t="shared" si="15"/>
        <v>270</v>
      </c>
      <c r="K53" s="57">
        <f t="shared" si="16"/>
        <v>270</v>
      </c>
    </row>
    <row r="54" spans="1:11" ht="17.25" customHeight="1" x14ac:dyDescent="0.2">
      <c r="A54" s="418"/>
      <c r="B54" s="56" t="s">
        <v>133</v>
      </c>
      <c r="C54" s="42">
        <v>100</v>
      </c>
      <c r="D54" s="57">
        <f t="shared" si="9"/>
        <v>130</v>
      </c>
      <c r="E54" s="57">
        <f t="shared" si="10"/>
        <v>180</v>
      </c>
      <c r="F54" s="57">
        <f t="shared" si="11"/>
        <v>150</v>
      </c>
      <c r="G54" s="57">
        <f t="shared" si="12"/>
        <v>220.00000000000003</v>
      </c>
      <c r="H54" s="57">
        <f t="shared" si="13"/>
        <v>250</v>
      </c>
      <c r="I54" s="57">
        <f t="shared" si="14"/>
        <v>250</v>
      </c>
      <c r="J54" s="57">
        <f t="shared" si="15"/>
        <v>270</v>
      </c>
      <c r="K54" s="57">
        <f t="shared" si="16"/>
        <v>270</v>
      </c>
    </row>
    <row r="55" spans="1:11" ht="17.25" customHeight="1" x14ac:dyDescent="0.2">
      <c r="A55" s="418"/>
      <c r="B55" s="56" t="s">
        <v>132</v>
      </c>
      <c r="C55" s="42">
        <v>100</v>
      </c>
      <c r="D55" s="57">
        <f t="shared" si="9"/>
        <v>130</v>
      </c>
      <c r="E55" s="57">
        <f t="shared" si="10"/>
        <v>180</v>
      </c>
      <c r="F55" s="57">
        <f t="shared" si="11"/>
        <v>150</v>
      </c>
      <c r="G55" s="57">
        <f t="shared" si="12"/>
        <v>220.00000000000003</v>
      </c>
      <c r="H55" s="57">
        <f t="shared" si="13"/>
        <v>250</v>
      </c>
      <c r="I55" s="57">
        <f t="shared" si="14"/>
        <v>250</v>
      </c>
      <c r="J55" s="57">
        <f t="shared" si="15"/>
        <v>270</v>
      </c>
      <c r="K55" s="57">
        <f t="shared" si="16"/>
        <v>270</v>
      </c>
    </row>
    <row r="56" spans="1:11" ht="17.25" customHeight="1" x14ac:dyDescent="0.2">
      <c r="A56" s="418"/>
      <c r="B56" s="56" t="s">
        <v>134</v>
      </c>
      <c r="C56" s="42">
        <v>100</v>
      </c>
      <c r="D56" s="57">
        <f t="shared" si="9"/>
        <v>130</v>
      </c>
      <c r="E56" s="57">
        <f t="shared" si="10"/>
        <v>180</v>
      </c>
      <c r="F56" s="57">
        <f t="shared" si="11"/>
        <v>150</v>
      </c>
      <c r="G56" s="57">
        <f t="shared" si="12"/>
        <v>220.00000000000003</v>
      </c>
      <c r="H56" s="57">
        <f t="shared" si="13"/>
        <v>250</v>
      </c>
      <c r="I56" s="57">
        <f t="shared" si="14"/>
        <v>250</v>
      </c>
      <c r="J56" s="57">
        <f t="shared" si="15"/>
        <v>270</v>
      </c>
      <c r="K56" s="57">
        <f t="shared" si="16"/>
        <v>270</v>
      </c>
    </row>
    <row r="57" spans="1:11" ht="17.25" customHeight="1" x14ac:dyDescent="0.2">
      <c r="A57" s="418"/>
      <c r="B57" s="56" t="s">
        <v>135</v>
      </c>
      <c r="C57" s="42">
        <v>100</v>
      </c>
      <c r="D57" s="57">
        <f t="shared" si="9"/>
        <v>130</v>
      </c>
      <c r="E57" s="57">
        <f t="shared" si="10"/>
        <v>180</v>
      </c>
      <c r="F57" s="57">
        <f t="shared" si="11"/>
        <v>150</v>
      </c>
      <c r="G57" s="57">
        <f t="shared" si="12"/>
        <v>220.00000000000003</v>
      </c>
      <c r="H57" s="57">
        <f t="shared" si="13"/>
        <v>250</v>
      </c>
      <c r="I57" s="57">
        <f t="shared" si="14"/>
        <v>250</v>
      </c>
      <c r="J57" s="57">
        <f t="shared" si="15"/>
        <v>270</v>
      </c>
      <c r="K57" s="57">
        <f t="shared" si="16"/>
        <v>270</v>
      </c>
    </row>
    <row r="58" spans="1:11" ht="17.25" customHeight="1" x14ac:dyDescent="0.2">
      <c r="A58" s="418"/>
      <c r="B58" s="56" t="s">
        <v>136</v>
      </c>
      <c r="C58" s="42">
        <v>100</v>
      </c>
      <c r="D58" s="57">
        <f t="shared" si="9"/>
        <v>130</v>
      </c>
      <c r="E58" s="57">
        <f t="shared" si="10"/>
        <v>180</v>
      </c>
      <c r="F58" s="57">
        <f t="shared" si="11"/>
        <v>150</v>
      </c>
      <c r="G58" s="57">
        <f t="shared" si="12"/>
        <v>220.00000000000003</v>
      </c>
      <c r="H58" s="57">
        <f t="shared" si="13"/>
        <v>250</v>
      </c>
      <c r="I58" s="57">
        <f t="shared" si="14"/>
        <v>250</v>
      </c>
      <c r="J58" s="57">
        <f t="shared" si="15"/>
        <v>270</v>
      </c>
      <c r="K58" s="57">
        <f t="shared" si="16"/>
        <v>270</v>
      </c>
    </row>
    <row r="59" spans="1:11" ht="34.9" customHeight="1" x14ac:dyDescent="0.2">
      <c r="A59" s="418"/>
      <c r="B59" s="56" t="s">
        <v>137</v>
      </c>
      <c r="C59" s="42">
        <v>100</v>
      </c>
      <c r="D59" s="57">
        <f t="shared" si="9"/>
        <v>130</v>
      </c>
      <c r="E59" s="57">
        <f t="shared" si="10"/>
        <v>180</v>
      </c>
      <c r="F59" s="57">
        <f t="shared" si="11"/>
        <v>150</v>
      </c>
      <c r="G59" s="57">
        <f t="shared" si="12"/>
        <v>220.00000000000003</v>
      </c>
      <c r="H59" s="57">
        <f t="shared" si="13"/>
        <v>250</v>
      </c>
      <c r="I59" s="57">
        <f t="shared" si="14"/>
        <v>250</v>
      </c>
      <c r="J59" s="57">
        <f t="shared" si="15"/>
        <v>270</v>
      </c>
      <c r="K59" s="57">
        <f t="shared" si="16"/>
        <v>270</v>
      </c>
    </row>
    <row r="60" spans="1:11" ht="17.25" customHeight="1" x14ac:dyDescent="0.2">
      <c r="A60" s="418"/>
      <c r="B60" s="56" t="s">
        <v>138</v>
      </c>
      <c r="C60" s="42">
        <v>100</v>
      </c>
      <c r="D60" s="57">
        <f t="shared" si="9"/>
        <v>130</v>
      </c>
      <c r="E60" s="57">
        <f t="shared" si="10"/>
        <v>180</v>
      </c>
      <c r="F60" s="57">
        <f t="shared" si="11"/>
        <v>150</v>
      </c>
      <c r="G60" s="57">
        <f t="shared" si="12"/>
        <v>220.00000000000003</v>
      </c>
      <c r="H60" s="57">
        <f t="shared" si="13"/>
        <v>250</v>
      </c>
      <c r="I60" s="57">
        <f t="shared" si="14"/>
        <v>250</v>
      </c>
      <c r="J60" s="57">
        <f t="shared" si="15"/>
        <v>270</v>
      </c>
      <c r="K60" s="57">
        <f t="shared" si="16"/>
        <v>270</v>
      </c>
    </row>
    <row r="61" spans="1:11" ht="17.25" customHeight="1" x14ac:dyDescent="0.2">
      <c r="A61" s="418"/>
      <c r="B61" s="56" t="s">
        <v>139</v>
      </c>
      <c r="C61" s="42">
        <v>100</v>
      </c>
      <c r="D61" s="57">
        <f t="shared" si="9"/>
        <v>130</v>
      </c>
      <c r="E61" s="57">
        <f t="shared" si="10"/>
        <v>180</v>
      </c>
      <c r="F61" s="57">
        <f t="shared" si="11"/>
        <v>150</v>
      </c>
      <c r="G61" s="57">
        <f t="shared" si="12"/>
        <v>220.00000000000003</v>
      </c>
      <c r="H61" s="57">
        <f t="shared" si="13"/>
        <v>250</v>
      </c>
      <c r="I61" s="57">
        <f t="shared" si="14"/>
        <v>250</v>
      </c>
      <c r="J61" s="57">
        <f t="shared" si="15"/>
        <v>270</v>
      </c>
      <c r="K61" s="57">
        <f t="shared" si="16"/>
        <v>270</v>
      </c>
    </row>
    <row r="62" spans="1:11" ht="17.25" customHeight="1" x14ac:dyDescent="0.2">
      <c r="A62" s="418"/>
      <c r="B62" s="56" t="s">
        <v>140</v>
      </c>
      <c r="C62" s="42">
        <v>100</v>
      </c>
      <c r="D62" s="57">
        <f t="shared" si="9"/>
        <v>130</v>
      </c>
      <c r="E62" s="57">
        <f t="shared" si="10"/>
        <v>180</v>
      </c>
      <c r="F62" s="57">
        <f t="shared" si="11"/>
        <v>150</v>
      </c>
      <c r="G62" s="57">
        <f t="shared" si="12"/>
        <v>220.00000000000003</v>
      </c>
      <c r="H62" s="57">
        <f t="shared" si="13"/>
        <v>250</v>
      </c>
      <c r="I62" s="57">
        <f t="shared" si="14"/>
        <v>250</v>
      </c>
      <c r="J62" s="57">
        <f t="shared" si="15"/>
        <v>270</v>
      </c>
      <c r="K62" s="57">
        <f t="shared" si="16"/>
        <v>270</v>
      </c>
    </row>
    <row r="63" spans="1:11" ht="17.25" customHeight="1" x14ac:dyDescent="0.2">
      <c r="A63" s="418"/>
      <c r="B63" s="56" t="s">
        <v>141</v>
      </c>
      <c r="C63" s="42">
        <v>100</v>
      </c>
      <c r="D63" s="57">
        <f t="shared" si="9"/>
        <v>130</v>
      </c>
      <c r="E63" s="57">
        <f t="shared" si="10"/>
        <v>180</v>
      </c>
      <c r="F63" s="57">
        <f t="shared" si="11"/>
        <v>150</v>
      </c>
      <c r="G63" s="57">
        <f t="shared" si="12"/>
        <v>220.00000000000003</v>
      </c>
      <c r="H63" s="57">
        <f t="shared" si="13"/>
        <v>250</v>
      </c>
      <c r="I63" s="57">
        <f t="shared" si="14"/>
        <v>250</v>
      </c>
      <c r="J63" s="57">
        <f t="shared" si="15"/>
        <v>270</v>
      </c>
      <c r="K63" s="57">
        <f t="shared" si="16"/>
        <v>270</v>
      </c>
    </row>
    <row r="64" spans="1:11" ht="17.25" customHeight="1" x14ac:dyDescent="0.2">
      <c r="A64" s="418"/>
      <c r="B64" s="56" t="s">
        <v>142</v>
      </c>
      <c r="C64" s="42">
        <v>100</v>
      </c>
      <c r="D64" s="57">
        <f t="shared" si="9"/>
        <v>130</v>
      </c>
      <c r="E64" s="57">
        <f t="shared" si="10"/>
        <v>180</v>
      </c>
      <c r="F64" s="57">
        <f t="shared" si="11"/>
        <v>150</v>
      </c>
      <c r="G64" s="57">
        <f t="shared" si="12"/>
        <v>220.00000000000003</v>
      </c>
      <c r="H64" s="57">
        <f t="shared" si="13"/>
        <v>250</v>
      </c>
      <c r="I64" s="57">
        <f t="shared" si="14"/>
        <v>250</v>
      </c>
      <c r="J64" s="57">
        <f t="shared" si="15"/>
        <v>270</v>
      </c>
      <c r="K64" s="57">
        <f t="shared" si="16"/>
        <v>270</v>
      </c>
    </row>
    <row r="65" spans="1:11" ht="17.25" customHeight="1" x14ac:dyDescent="0.2">
      <c r="A65" s="418"/>
      <c r="B65" s="56" t="s">
        <v>143</v>
      </c>
      <c r="C65" s="42">
        <v>100</v>
      </c>
      <c r="D65" s="57">
        <f t="shared" si="9"/>
        <v>130</v>
      </c>
      <c r="E65" s="57">
        <f t="shared" si="10"/>
        <v>180</v>
      </c>
      <c r="F65" s="57">
        <f t="shared" si="11"/>
        <v>150</v>
      </c>
      <c r="G65" s="57">
        <f t="shared" si="12"/>
        <v>220.00000000000003</v>
      </c>
      <c r="H65" s="57">
        <f t="shared" si="13"/>
        <v>250</v>
      </c>
      <c r="I65" s="57">
        <f t="shared" si="14"/>
        <v>250</v>
      </c>
      <c r="J65" s="57">
        <f t="shared" si="15"/>
        <v>270</v>
      </c>
      <c r="K65" s="57">
        <f t="shared" si="16"/>
        <v>270</v>
      </c>
    </row>
    <row r="66" spans="1:11" ht="17.25" customHeight="1" x14ac:dyDescent="0.2">
      <c r="A66" s="418"/>
      <c r="B66" s="56" t="s">
        <v>144</v>
      </c>
      <c r="C66" s="42">
        <v>100</v>
      </c>
      <c r="D66" s="57">
        <f t="shared" si="9"/>
        <v>130</v>
      </c>
      <c r="E66" s="57">
        <f t="shared" si="10"/>
        <v>180</v>
      </c>
      <c r="F66" s="57">
        <f t="shared" si="11"/>
        <v>150</v>
      </c>
      <c r="G66" s="57">
        <f t="shared" si="12"/>
        <v>220.00000000000003</v>
      </c>
      <c r="H66" s="57">
        <f t="shared" si="13"/>
        <v>250</v>
      </c>
      <c r="I66" s="57">
        <f t="shared" si="14"/>
        <v>250</v>
      </c>
      <c r="J66" s="57">
        <f t="shared" si="15"/>
        <v>270</v>
      </c>
      <c r="K66" s="57">
        <f t="shared" si="16"/>
        <v>270</v>
      </c>
    </row>
    <row r="67" spans="1:11" ht="17.25" customHeight="1" x14ac:dyDescent="0.2">
      <c r="A67" s="418"/>
      <c r="B67" s="56" t="s">
        <v>145</v>
      </c>
      <c r="C67" s="42">
        <v>100</v>
      </c>
      <c r="D67" s="57">
        <f t="shared" si="9"/>
        <v>130</v>
      </c>
      <c r="E67" s="57">
        <f t="shared" si="10"/>
        <v>180</v>
      </c>
      <c r="F67" s="57">
        <f t="shared" si="11"/>
        <v>150</v>
      </c>
      <c r="G67" s="57">
        <f t="shared" si="12"/>
        <v>220.00000000000003</v>
      </c>
      <c r="H67" s="57">
        <f t="shared" si="13"/>
        <v>250</v>
      </c>
      <c r="I67" s="57">
        <f t="shared" si="14"/>
        <v>250</v>
      </c>
      <c r="J67" s="57">
        <f t="shared" si="15"/>
        <v>270</v>
      </c>
      <c r="K67" s="57">
        <f t="shared" si="16"/>
        <v>270</v>
      </c>
    </row>
    <row r="68" spans="1:11" ht="17.25" customHeight="1" x14ac:dyDescent="0.2">
      <c r="A68" s="418"/>
      <c r="B68" s="56" t="s">
        <v>146</v>
      </c>
      <c r="C68" s="42">
        <v>100</v>
      </c>
      <c r="D68" s="57">
        <f t="shared" si="9"/>
        <v>130</v>
      </c>
      <c r="E68" s="57">
        <f t="shared" si="10"/>
        <v>180</v>
      </c>
      <c r="F68" s="57">
        <f t="shared" si="11"/>
        <v>150</v>
      </c>
      <c r="G68" s="57">
        <f t="shared" si="12"/>
        <v>220.00000000000003</v>
      </c>
      <c r="H68" s="57">
        <f t="shared" si="13"/>
        <v>250</v>
      </c>
      <c r="I68" s="57">
        <f t="shared" si="14"/>
        <v>250</v>
      </c>
      <c r="J68" s="57">
        <f t="shared" si="15"/>
        <v>270</v>
      </c>
      <c r="K68" s="57">
        <f t="shared" si="16"/>
        <v>270</v>
      </c>
    </row>
    <row r="69" spans="1:11" ht="17.25" customHeight="1" x14ac:dyDescent="0.2">
      <c r="A69" s="418"/>
      <c r="B69" s="56" t="s">
        <v>147</v>
      </c>
      <c r="C69" s="42">
        <v>100</v>
      </c>
      <c r="D69" s="57">
        <f t="shared" si="9"/>
        <v>130</v>
      </c>
      <c r="E69" s="57">
        <f t="shared" si="10"/>
        <v>180</v>
      </c>
      <c r="F69" s="57">
        <f t="shared" si="11"/>
        <v>150</v>
      </c>
      <c r="G69" s="57">
        <f t="shared" si="12"/>
        <v>220.00000000000003</v>
      </c>
      <c r="H69" s="57">
        <f t="shared" si="13"/>
        <v>250</v>
      </c>
      <c r="I69" s="57">
        <f t="shared" si="14"/>
        <v>250</v>
      </c>
      <c r="J69" s="57">
        <f t="shared" si="15"/>
        <v>270</v>
      </c>
      <c r="K69" s="57">
        <f t="shared" si="16"/>
        <v>270</v>
      </c>
    </row>
    <row r="70" spans="1:11" ht="17.25" customHeight="1" x14ac:dyDescent="0.2">
      <c r="A70" s="418"/>
      <c r="B70" s="56" t="s">
        <v>25</v>
      </c>
      <c r="C70" s="42">
        <v>100</v>
      </c>
      <c r="D70" s="57">
        <f t="shared" si="9"/>
        <v>130</v>
      </c>
      <c r="E70" s="57">
        <f t="shared" si="10"/>
        <v>180</v>
      </c>
      <c r="F70" s="57">
        <f t="shared" si="11"/>
        <v>150</v>
      </c>
      <c r="G70" s="57">
        <f t="shared" si="12"/>
        <v>220.00000000000003</v>
      </c>
      <c r="H70" s="57">
        <f t="shared" si="13"/>
        <v>250</v>
      </c>
      <c r="I70" s="57">
        <f t="shared" si="14"/>
        <v>250</v>
      </c>
      <c r="J70" s="57">
        <f t="shared" si="15"/>
        <v>270</v>
      </c>
      <c r="K70" s="57">
        <f t="shared" si="16"/>
        <v>270</v>
      </c>
    </row>
    <row r="71" spans="1:11" ht="63" customHeight="1" x14ac:dyDescent="0.2">
      <c r="A71" s="418"/>
      <c r="B71" s="56" t="s">
        <v>480</v>
      </c>
      <c r="C71" s="42">
        <v>80</v>
      </c>
      <c r="D71" s="57">
        <f t="shared" si="9"/>
        <v>104</v>
      </c>
      <c r="E71" s="57">
        <f t="shared" si="10"/>
        <v>144</v>
      </c>
      <c r="F71" s="57">
        <f t="shared" si="11"/>
        <v>120</v>
      </c>
      <c r="G71" s="57">
        <f t="shared" si="12"/>
        <v>176</v>
      </c>
      <c r="H71" s="57">
        <f t="shared" si="13"/>
        <v>200</v>
      </c>
      <c r="I71" s="57">
        <f t="shared" si="14"/>
        <v>200</v>
      </c>
      <c r="J71" s="57">
        <f t="shared" si="15"/>
        <v>216</v>
      </c>
      <c r="K71" s="57">
        <f t="shared" si="16"/>
        <v>216</v>
      </c>
    </row>
    <row r="72" spans="1:11" ht="17.25" customHeight="1" x14ac:dyDescent="0.2">
      <c r="A72" s="418"/>
      <c r="B72" s="56"/>
      <c r="C72" s="42"/>
      <c r="D72" s="57">
        <f t="shared" si="9"/>
        <v>0</v>
      </c>
      <c r="E72" s="57">
        <f t="shared" si="10"/>
        <v>0</v>
      </c>
      <c r="F72" s="57">
        <f t="shared" si="11"/>
        <v>0</v>
      </c>
      <c r="G72" s="57">
        <f t="shared" si="12"/>
        <v>0</v>
      </c>
      <c r="H72" s="57">
        <f t="shared" si="13"/>
        <v>0</v>
      </c>
      <c r="I72" s="57">
        <f t="shared" si="14"/>
        <v>0</v>
      </c>
      <c r="J72" s="57">
        <f t="shared" si="15"/>
        <v>0</v>
      </c>
      <c r="K72" s="57">
        <f t="shared" si="16"/>
        <v>0</v>
      </c>
    </row>
    <row r="73" spans="1:11" ht="17.25" customHeight="1" x14ac:dyDescent="0.2">
      <c r="A73" s="418"/>
      <c r="B73" s="56" t="s">
        <v>257</v>
      </c>
      <c r="C73" s="42">
        <v>150</v>
      </c>
      <c r="D73" s="57">
        <f t="shared" si="9"/>
        <v>195</v>
      </c>
      <c r="E73" s="57">
        <f t="shared" si="10"/>
        <v>270</v>
      </c>
      <c r="F73" s="57">
        <f t="shared" si="11"/>
        <v>225</v>
      </c>
      <c r="G73" s="57">
        <f t="shared" si="12"/>
        <v>330</v>
      </c>
      <c r="H73" s="57">
        <f t="shared" si="13"/>
        <v>375</v>
      </c>
      <c r="I73" s="57">
        <f t="shared" si="14"/>
        <v>375</v>
      </c>
      <c r="J73" s="57">
        <f t="shared" si="15"/>
        <v>405</v>
      </c>
      <c r="K73" s="57">
        <f t="shared" si="16"/>
        <v>405</v>
      </c>
    </row>
    <row r="74" spans="1:11" ht="33" customHeight="1" thickBot="1" x14ac:dyDescent="0.25">
      <c r="A74" s="419"/>
      <c r="B74" s="56" t="s">
        <v>481</v>
      </c>
      <c r="C74" s="42">
        <v>300</v>
      </c>
      <c r="D74" s="57">
        <f t="shared" si="9"/>
        <v>390</v>
      </c>
      <c r="E74" s="57">
        <f t="shared" si="10"/>
        <v>540</v>
      </c>
      <c r="F74" s="57">
        <f t="shared" si="11"/>
        <v>450</v>
      </c>
      <c r="G74" s="57">
        <f t="shared" si="12"/>
        <v>660</v>
      </c>
      <c r="H74" s="57">
        <f t="shared" si="13"/>
        <v>750</v>
      </c>
      <c r="I74" s="57">
        <f t="shared" si="14"/>
        <v>750</v>
      </c>
      <c r="J74" s="57">
        <f t="shared" si="15"/>
        <v>810</v>
      </c>
      <c r="K74" s="57">
        <f t="shared" si="16"/>
        <v>810</v>
      </c>
    </row>
    <row r="75" spans="1:11" ht="17.25" customHeight="1" thickBot="1" x14ac:dyDescent="0.25">
      <c r="A75" s="20"/>
      <c r="C75" s="20"/>
    </row>
    <row r="76" spans="1:11" ht="17.25" customHeight="1" x14ac:dyDescent="0.2">
      <c r="A76" s="59" t="s">
        <v>489</v>
      </c>
      <c r="B76" s="60"/>
      <c r="C76" s="61">
        <v>100</v>
      </c>
      <c r="D76" s="61">
        <v>130</v>
      </c>
      <c r="E76" s="61">
        <v>180</v>
      </c>
      <c r="F76" s="61">
        <v>150</v>
      </c>
      <c r="G76" s="61">
        <v>220</v>
      </c>
      <c r="H76" s="61">
        <v>250</v>
      </c>
      <c r="I76" s="61">
        <v>250</v>
      </c>
      <c r="J76" s="61">
        <v>270</v>
      </c>
      <c r="K76" s="62">
        <v>270</v>
      </c>
    </row>
    <row r="77" spans="1:11" ht="17.25" customHeight="1" thickBot="1" x14ac:dyDescent="0.25">
      <c r="A77" s="63" t="s">
        <v>490</v>
      </c>
      <c r="B77" s="64"/>
      <c r="C77" s="65">
        <v>1</v>
      </c>
      <c r="D77" s="65">
        <f>1.3</f>
        <v>1.3</v>
      </c>
      <c r="E77" s="65">
        <v>1.8</v>
      </c>
      <c r="F77" s="65">
        <v>1.5</v>
      </c>
      <c r="G77" s="65">
        <v>2.2000000000000002</v>
      </c>
      <c r="H77" s="65">
        <v>2.5</v>
      </c>
      <c r="I77" s="65">
        <v>2.5</v>
      </c>
      <c r="J77" s="65">
        <v>2.7</v>
      </c>
      <c r="K77" s="66">
        <v>2.7</v>
      </c>
    </row>
    <row r="78" spans="1:11" ht="17.25" customHeight="1" x14ac:dyDescent="0.2">
      <c r="A78" s="20"/>
      <c r="C78" s="20"/>
    </row>
    <row r="79" spans="1:11" ht="17.25" customHeight="1" x14ac:dyDescent="0.2">
      <c r="A79" s="20"/>
      <c r="C79" s="20"/>
    </row>
    <row r="80" spans="1:11" ht="17.25" customHeight="1" x14ac:dyDescent="0.2">
      <c r="A80" s="20"/>
      <c r="C80" s="20"/>
    </row>
    <row r="81" spans="1:3" ht="17.25" customHeight="1" thickBot="1" x14ac:dyDescent="0.3">
      <c r="A81" s="67" t="s">
        <v>406</v>
      </c>
      <c r="B81" s="68" t="s">
        <v>407</v>
      </c>
      <c r="C81" s="69" t="s">
        <v>408</v>
      </c>
    </row>
    <row r="82" spans="1:3" ht="17.25" customHeight="1" thickTop="1" x14ac:dyDescent="0.2">
      <c r="A82" s="20" t="s">
        <v>409</v>
      </c>
      <c r="B82" s="49">
        <v>1001</v>
      </c>
      <c r="C82" s="38">
        <v>32</v>
      </c>
    </row>
    <row r="83" spans="1:3" ht="17.25" customHeight="1" x14ac:dyDescent="0.2">
      <c r="A83" s="20" t="s">
        <v>410</v>
      </c>
      <c r="B83" s="41">
        <v>1002</v>
      </c>
      <c r="C83" s="42">
        <v>32</v>
      </c>
    </row>
    <row r="84" spans="1:3" ht="17.25" customHeight="1" x14ac:dyDescent="0.2">
      <c r="A84" s="20" t="s">
        <v>411</v>
      </c>
      <c r="B84" s="41">
        <v>1004</v>
      </c>
      <c r="C84" s="42">
        <v>33</v>
      </c>
    </row>
    <row r="85" spans="1:3" ht="17.25" customHeight="1" x14ac:dyDescent="0.2">
      <c r="A85" s="20" t="s">
        <v>412</v>
      </c>
      <c r="B85" s="41">
        <v>1005</v>
      </c>
      <c r="C85" s="42">
        <v>32</v>
      </c>
    </row>
    <row r="86" spans="1:3" ht="17.25" customHeight="1" x14ac:dyDescent="0.2">
      <c r="A86" s="26" t="s">
        <v>413</v>
      </c>
      <c r="B86" s="41">
        <v>1007</v>
      </c>
      <c r="C86" s="42">
        <v>33</v>
      </c>
    </row>
    <row r="87" spans="1:3" ht="17.25" customHeight="1" x14ac:dyDescent="0.2">
      <c r="A87" s="26" t="s">
        <v>414</v>
      </c>
      <c r="B87" s="41">
        <v>1009</v>
      </c>
      <c r="C87" s="42">
        <v>31</v>
      </c>
    </row>
    <row r="88" spans="1:3" ht="17.25" customHeight="1" x14ac:dyDescent="0.2">
      <c r="A88" s="26" t="s">
        <v>415</v>
      </c>
      <c r="B88" s="41">
        <v>1011</v>
      </c>
      <c r="C88" s="42">
        <v>32</v>
      </c>
    </row>
    <row r="89" spans="1:3" ht="17.25" customHeight="1" x14ac:dyDescent="0.2">
      <c r="A89" s="26" t="s">
        <v>416</v>
      </c>
      <c r="B89" s="41">
        <v>1013</v>
      </c>
      <c r="C89" s="42">
        <v>33</v>
      </c>
    </row>
    <row r="90" spans="1:3" ht="17.25" customHeight="1" x14ac:dyDescent="0.2">
      <c r="A90" s="26" t="s">
        <v>417</v>
      </c>
      <c r="B90" s="41">
        <v>1015</v>
      </c>
      <c r="C90" s="42">
        <v>32</v>
      </c>
    </row>
    <row r="91" spans="1:3" ht="17.25" customHeight="1" x14ac:dyDescent="0.2">
      <c r="A91" s="26" t="s">
        <v>418</v>
      </c>
      <c r="B91" s="41">
        <v>1017</v>
      </c>
      <c r="C91" s="42">
        <v>22</v>
      </c>
    </row>
    <row r="92" spans="1:3" ht="17.25" customHeight="1" x14ac:dyDescent="0.2">
      <c r="A92" s="26" t="s">
        <v>90</v>
      </c>
      <c r="B92" s="41">
        <v>1019</v>
      </c>
      <c r="C92" s="42">
        <v>12</v>
      </c>
    </row>
    <row r="93" spans="1:3" ht="17.25" customHeight="1" x14ac:dyDescent="0.2">
      <c r="A93" s="26" t="s">
        <v>419</v>
      </c>
      <c r="B93" s="41">
        <v>1021</v>
      </c>
      <c r="C93" s="42">
        <v>32</v>
      </c>
    </row>
    <row r="94" spans="1:3" ht="17.25" customHeight="1" x14ac:dyDescent="0.2">
      <c r="A94" s="26" t="s">
        <v>420</v>
      </c>
      <c r="B94" s="41">
        <v>1023</v>
      </c>
      <c r="C94" s="42">
        <v>22</v>
      </c>
    </row>
    <row r="95" spans="1:3" ht="17.25" customHeight="1" x14ac:dyDescent="0.2">
      <c r="A95" s="26" t="s">
        <v>421</v>
      </c>
      <c r="B95" s="41">
        <v>1025</v>
      </c>
      <c r="C95" s="42">
        <v>31</v>
      </c>
    </row>
    <row r="96" spans="1:3" ht="17.25" customHeight="1" x14ac:dyDescent="0.2">
      <c r="A96" s="26" t="s">
        <v>422</v>
      </c>
      <c r="B96" s="41">
        <v>1027</v>
      </c>
      <c r="C96" s="42">
        <v>31</v>
      </c>
    </row>
    <row r="97" spans="1:3" ht="17.25" customHeight="1" x14ac:dyDescent="0.2">
      <c r="A97" s="26" t="s">
        <v>423</v>
      </c>
      <c r="B97" s="41">
        <v>1029</v>
      </c>
      <c r="C97" s="42">
        <v>32</v>
      </c>
    </row>
    <row r="98" spans="1:3" ht="17.25" customHeight="1" x14ac:dyDescent="0.2">
      <c r="A98" s="26" t="s">
        <v>231</v>
      </c>
      <c r="B98" s="41">
        <v>1031</v>
      </c>
      <c r="C98" s="42">
        <v>22</v>
      </c>
    </row>
    <row r="99" spans="1:3" ht="17.25" customHeight="1" x14ac:dyDescent="0.2">
      <c r="A99" s="26" t="s">
        <v>424</v>
      </c>
      <c r="B99" s="41">
        <v>1033</v>
      </c>
      <c r="C99" s="42">
        <v>22</v>
      </c>
    </row>
    <row r="100" spans="1:3" ht="17.25" customHeight="1" x14ac:dyDescent="0.2">
      <c r="A100" s="26" t="s">
        <v>425</v>
      </c>
      <c r="B100" s="41">
        <v>1035</v>
      </c>
      <c r="C100" s="42">
        <v>32</v>
      </c>
    </row>
    <row r="101" spans="1:3" ht="17.25" customHeight="1" x14ac:dyDescent="0.2">
      <c r="A101" s="26" t="s">
        <v>92</v>
      </c>
      <c r="B101" s="41">
        <v>1037</v>
      </c>
      <c r="C101" s="42">
        <v>12</v>
      </c>
    </row>
    <row r="102" spans="1:3" ht="17.25" customHeight="1" x14ac:dyDescent="0.2">
      <c r="A102" s="26" t="s">
        <v>426</v>
      </c>
      <c r="B102" s="41">
        <v>1039</v>
      </c>
      <c r="C102" s="42">
        <v>32</v>
      </c>
    </row>
    <row r="103" spans="1:3" ht="17.25" customHeight="1" x14ac:dyDescent="0.2">
      <c r="A103" s="26" t="s">
        <v>227</v>
      </c>
      <c r="B103" s="41">
        <v>1041</v>
      </c>
      <c r="C103" s="42">
        <v>12</v>
      </c>
    </row>
    <row r="104" spans="1:3" ht="17.25" customHeight="1" x14ac:dyDescent="0.2">
      <c r="A104" s="26" t="s">
        <v>228</v>
      </c>
      <c r="B104" s="41">
        <v>1043</v>
      </c>
      <c r="C104" s="42">
        <v>12</v>
      </c>
    </row>
    <row r="105" spans="1:3" ht="17.25" customHeight="1" x14ac:dyDescent="0.2">
      <c r="A105" s="26" t="s">
        <v>229</v>
      </c>
      <c r="B105" s="41">
        <v>1045</v>
      </c>
      <c r="C105" s="42">
        <v>12</v>
      </c>
    </row>
    <row r="106" spans="1:3" ht="17.25" customHeight="1" x14ac:dyDescent="0.2">
      <c r="A106" s="26" t="s">
        <v>91</v>
      </c>
      <c r="B106" s="41">
        <v>1047</v>
      </c>
      <c r="C106" s="42">
        <v>12</v>
      </c>
    </row>
    <row r="107" spans="1:3" ht="17.25" customHeight="1" x14ac:dyDescent="0.2">
      <c r="A107" s="26" t="s">
        <v>223</v>
      </c>
      <c r="B107" s="41">
        <v>1049</v>
      </c>
      <c r="C107" s="42">
        <v>21</v>
      </c>
    </row>
    <row r="108" spans="1:3" ht="17.25" customHeight="1" x14ac:dyDescent="0.2">
      <c r="A108" s="26" t="s">
        <v>224</v>
      </c>
      <c r="B108" s="41">
        <v>1051</v>
      </c>
      <c r="C108" s="42">
        <v>23</v>
      </c>
    </row>
    <row r="109" spans="1:3" ht="17.25" customHeight="1" x14ac:dyDescent="0.2">
      <c r="A109" s="26" t="s">
        <v>230</v>
      </c>
      <c r="B109" s="41">
        <v>1053</v>
      </c>
      <c r="C109" s="42">
        <v>21</v>
      </c>
    </row>
    <row r="110" spans="1:3" ht="17.25" customHeight="1" x14ac:dyDescent="0.2">
      <c r="A110" s="26" t="s">
        <v>226</v>
      </c>
      <c r="B110" s="41">
        <v>1055</v>
      </c>
      <c r="C110" s="42">
        <v>12</v>
      </c>
    </row>
    <row r="111" spans="1:3" ht="17.25" customHeight="1" x14ac:dyDescent="0.2">
      <c r="A111" s="26" t="s">
        <v>89</v>
      </c>
      <c r="B111" s="41">
        <v>1057</v>
      </c>
      <c r="C111" s="42">
        <v>12</v>
      </c>
    </row>
    <row r="112" spans="1:3" ht="17.25" customHeight="1" x14ac:dyDescent="0.2">
      <c r="A112" s="26" t="s">
        <v>88</v>
      </c>
      <c r="B112" s="41">
        <v>1059</v>
      </c>
      <c r="C112" s="42">
        <v>12</v>
      </c>
    </row>
    <row r="113" spans="1:3" ht="17.25" customHeight="1" x14ac:dyDescent="0.2">
      <c r="A113" s="26" t="s">
        <v>93</v>
      </c>
      <c r="B113" s="41">
        <v>1061</v>
      </c>
      <c r="C113" s="42">
        <v>21</v>
      </c>
    </row>
    <row r="114" spans="1:3" ht="17.25" customHeight="1" x14ac:dyDescent="0.2">
      <c r="A114" s="26" t="s">
        <v>427</v>
      </c>
      <c r="B114" s="41">
        <v>1063</v>
      </c>
      <c r="C114" s="42">
        <v>12</v>
      </c>
    </row>
    <row r="115" spans="1:3" ht="17.25" customHeight="1" x14ac:dyDescent="0.2">
      <c r="A115" s="26" t="s">
        <v>428</v>
      </c>
      <c r="B115" s="41">
        <v>1065</v>
      </c>
      <c r="C115" s="42">
        <v>23</v>
      </c>
    </row>
    <row r="116" spans="1:3" ht="17.25" customHeight="1" x14ac:dyDescent="0.2">
      <c r="A116" s="26" t="s">
        <v>429</v>
      </c>
      <c r="B116" s="41">
        <v>1067</v>
      </c>
      <c r="C116" s="42">
        <v>21</v>
      </c>
    </row>
    <row r="117" spans="1:3" ht="17.25" customHeight="1" x14ac:dyDescent="0.2">
      <c r="A117" s="26" t="s">
        <v>232</v>
      </c>
      <c r="B117" s="41">
        <v>1069</v>
      </c>
      <c r="C117" s="42">
        <v>23</v>
      </c>
    </row>
    <row r="118" spans="1:3" ht="17.25" customHeight="1" x14ac:dyDescent="0.2">
      <c r="A118" s="26" t="s">
        <v>233</v>
      </c>
      <c r="B118" s="41">
        <v>1071</v>
      </c>
      <c r="C118" s="42">
        <v>22</v>
      </c>
    </row>
    <row r="119" spans="1:3" ht="17.25" customHeight="1" x14ac:dyDescent="0.2">
      <c r="A119" s="26" t="s">
        <v>234</v>
      </c>
      <c r="B119" s="41">
        <v>1073</v>
      </c>
      <c r="C119" s="42">
        <v>32</v>
      </c>
    </row>
    <row r="120" spans="1:3" ht="17.25" customHeight="1" x14ac:dyDescent="0.2">
      <c r="A120" s="26" t="s">
        <v>235</v>
      </c>
      <c r="B120" s="41">
        <v>1075</v>
      </c>
      <c r="C120" s="42">
        <v>22</v>
      </c>
    </row>
    <row r="121" spans="1:3" ht="17.25" customHeight="1" x14ac:dyDescent="0.2">
      <c r="A121" s="26" t="s">
        <v>430</v>
      </c>
      <c r="B121" s="41">
        <v>1077</v>
      </c>
      <c r="C121" s="42">
        <v>31</v>
      </c>
    </row>
    <row r="122" spans="1:3" ht="17.25" customHeight="1" x14ac:dyDescent="0.2">
      <c r="A122" s="26" t="s">
        <v>431</v>
      </c>
      <c r="B122" s="41">
        <v>1079</v>
      </c>
      <c r="C122" s="42">
        <v>32</v>
      </c>
    </row>
    <row r="123" spans="1:3" ht="17.25" customHeight="1" x14ac:dyDescent="0.2">
      <c r="A123" s="26" t="s">
        <v>432</v>
      </c>
      <c r="B123" s="41">
        <v>1081</v>
      </c>
      <c r="C123" s="42">
        <v>32</v>
      </c>
    </row>
    <row r="124" spans="1:3" ht="17.25" customHeight="1" x14ac:dyDescent="0.2">
      <c r="A124" s="26" t="s">
        <v>433</v>
      </c>
      <c r="B124" s="41">
        <v>1083</v>
      </c>
      <c r="C124" s="42">
        <v>32</v>
      </c>
    </row>
    <row r="125" spans="1:3" ht="17.25" customHeight="1" x14ac:dyDescent="0.2">
      <c r="A125" s="26" t="s">
        <v>434</v>
      </c>
      <c r="B125" s="41">
        <v>1085</v>
      </c>
      <c r="C125" s="42">
        <v>32</v>
      </c>
    </row>
    <row r="126" spans="1:3" ht="17.25" customHeight="1" x14ac:dyDescent="0.2">
      <c r="A126" s="26" t="s">
        <v>435</v>
      </c>
      <c r="B126" s="41">
        <v>1087</v>
      </c>
      <c r="C126" s="42">
        <v>32</v>
      </c>
    </row>
    <row r="127" spans="1:3" ht="17.25" customHeight="1" x14ac:dyDescent="0.2">
      <c r="A127" s="26" t="s">
        <v>225</v>
      </c>
      <c r="B127" s="41">
        <v>1089</v>
      </c>
      <c r="C127" s="42">
        <v>22</v>
      </c>
    </row>
    <row r="128" spans="1:3" ht="17.25" customHeight="1" x14ac:dyDescent="0.2">
      <c r="A128" s="26" t="s">
        <v>436</v>
      </c>
      <c r="B128" s="41">
        <v>1091</v>
      </c>
      <c r="C128" s="42">
        <v>32</v>
      </c>
    </row>
    <row r="129" spans="1:3" ht="17.25" customHeight="1" x14ac:dyDescent="0.2">
      <c r="A129" s="26" t="s">
        <v>437</v>
      </c>
      <c r="B129" s="41">
        <v>1093</v>
      </c>
      <c r="C129" s="42">
        <v>32</v>
      </c>
    </row>
    <row r="130" spans="1:3" ht="17.25" customHeight="1" x14ac:dyDescent="0.2">
      <c r="A130" s="26" t="s">
        <v>438</v>
      </c>
      <c r="B130" s="41">
        <v>1095</v>
      </c>
      <c r="C130" s="42">
        <v>22</v>
      </c>
    </row>
    <row r="131" spans="1:3" ht="17.25" customHeight="1" x14ac:dyDescent="0.2">
      <c r="A131" s="26" t="s">
        <v>439</v>
      </c>
      <c r="B131" s="41">
        <v>1097</v>
      </c>
      <c r="C131" s="42">
        <v>32</v>
      </c>
    </row>
    <row r="132" spans="1:3" ht="17.25" customHeight="1" x14ac:dyDescent="0.2">
      <c r="A132" s="26" t="s">
        <v>440</v>
      </c>
      <c r="B132" s="41">
        <v>1099</v>
      </c>
      <c r="C132" s="42">
        <v>13</v>
      </c>
    </row>
    <row r="133" spans="1:3" ht="17.25" customHeight="1" x14ac:dyDescent="0.2">
      <c r="A133" s="26" t="s">
        <v>441</v>
      </c>
      <c r="B133" s="41">
        <v>1101</v>
      </c>
      <c r="C133" s="42">
        <v>32</v>
      </c>
    </row>
    <row r="134" spans="1:3" ht="17.25" customHeight="1" x14ac:dyDescent="0.2">
      <c r="A134" s="26" t="s">
        <v>442</v>
      </c>
      <c r="B134" s="41">
        <v>1103</v>
      </c>
      <c r="C134" s="42">
        <v>31</v>
      </c>
    </row>
    <row r="135" spans="1:3" ht="17.25" customHeight="1" x14ac:dyDescent="0.2">
      <c r="A135" s="26" t="s">
        <v>443</v>
      </c>
      <c r="B135" s="41">
        <v>1105</v>
      </c>
      <c r="C135" s="42">
        <v>13</v>
      </c>
    </row>
    <row r="136" spans="1:3" ht="17.25" customHeight="1" x14ac:dyDescent="0.2">
      <c r="A136" s="26" t="s">
        <v>444</v>
      </c>
      <c r="B136" s="41">
        <v>1107</v>
      </c>
      <c r="C136" s="42">
        <v>32</v>
      </c>
    </row>
    <row r="137" spans="1:3" ht="17.25" customHeight="1" x14ac:dyDescent="0.2">
      <c r="A137" s="26" t="s">
        <v>445</v>
      </c>
      <c r="B137" s="41">
        <v>1109</v>
      </c>
      <c r="C137" s="42">
        <v>32</v>
      </c>
    </row>
    <row r="138" spans="1:3" ht="17.25" customHeight="1" x14ac:dyDescent="0.2">
      <c r="A138" s="26" t="s">
        <v>446</v>
      </c>
      <c r="B138" s="41">
        <v>1111</v>
      </c>
      <c r="C138" s="42">
        <v>13</v>
      </c>
    </row>
    <row r="139" spans="1:3" ht="17.25" customHeight="1" x14ac:dyDescent="0.2">
      <c r="A139" s="26" t="s">
        <v>447</v>
      </c>
      <c r="B139" s="41">
        <v>1113</v>
      </c>
      <c r="C139" s="42">
        <v>31</v>
      </c>
    </row>
    <row r="140" spans="1:3" ht="17.25" customHeight="1" x14ac:dyDescent="0.2">
      <c r="A140" s="26" t="s">
        <v>448</v>
      </c>
      <c r="B140" s="41">
        <v>1115</v>
      </c>
      <c r="C140" s="42">
        <v>31</v>
      </c>
    </row>
    <row r="141" spans="1:3" ht="17.25" customHeight="1" x14ac:dyDescent="0.2">
      <c r="A141" s="26" t="s">
        <v>449</v>
      </c>
      <c r="B141" s="41">
        <v>1117</v>
      </c>
      <c r="C141" s="42">
        <v>32</v>
      </c>
    </row>
    <row r="142" spans="1:3" ht="17.25" customHeight="1" x14ac:dyDescent="0.2">
      <c r="A142" s="26" t="s">
        <v>450</v>
      </c>
      <c r="B142" s="41">
        <v>1119</v>
      </c>
      <c r="C142" s="42">
        <v>32</v>
      </c>
    </row>
    <row r="143" spans="1:3" ht="17.25" customHeight="1" x14ac:dyDescent="0.2">
      <c r="A143" s="26" t="s">
        <v>451</v>
      </c>
      <c r="B143" s="41">
        <v>1121</v>
      </c>
      <c r="C143" s="42">
        <v>31</v>
      </c>
    </row>
    <row r="144" spans="1:3" ht="17.25" customHeight="1" x14ac:dyDescent="0.2">
      <c r="A144" s="26" t="s">
        <v>452</v>
      </c>
      <c r="B144" s="41">
        <v>1123</v>
      </c>
      <c r="C144" s="42">
        <v>32</v>
      </c>
    </row>
    <row r="145" spans="1:3" ht="17.25" customHeight="1" x14ac:dyDescent="0.2">
      <c r="A145" s="26" t="s">
        <v>453</v>
      </c>
      <c r="B145" s="41">
        <v>1125</v>
      </c>
      <c r="C145" s="42">
        <v>32</v>
      </c>
    </row>
    <row r="146" spans="1:3" ht="17.25" customHeight="1" x14ac:dyDescent="0.2">
      <c r="A146" s="26" t="s">
        <v>454</v>
      </c>
      <c r="B146" s="41">
        <v>1127</v>
      </c>
      <c r="C146" s="42">
        <v>32</v>
      </c>
    </row>
    <row r="147" spans="1:3" ht="17.25" customHeight="1" x14ac:dyDescent="0.2">
      <c r="A147" s="26" t="s">
        <v>455</v>
      </c>
      <c r="B147" s="41">
        <v>1129</v>
      </c>
      <c r="C147" s="42">
        <v>32</v>
      </c>
    </row>
    <row r="148" spans="1:3" ht="17.25" customHeight="1" x14ac:dyDescent="0.2">
      <c r="A148" s="26" t="s">
        <v>456</v>
      </c>
      <c r="B148" s="41">
        <v>1131</v>
      </c>
      <c r="C148" s="42">
        <v>32</v>
      </c>
    </row>
    <row r="149" spans="1:3" ht="17.25" customHeight="1" x14ac:dyDescent="0.2">
      <c r="A149" s="26" t="s">
        <v>457</v>
      </c>
      <c r="B149" s="41">
        <v>1133</v>
      </c>
      <c r="C149" s="42">
        <v>32</v>
      </c>
    </row>
    <row r="150" spans="1:3" ht="17.25" customHeight="1" x14ac:dyDescent="0.2">
      <c r="A150" s="26" t="s">
        <v>458</v>
      </c>
      <c r="B150" s="41">
        <v>1135</v>
      </c>
      <c r="C150" s="42">
        <v>32</v>
      </c>
    </row>
    <row r="151" spans="1:3" ht="17.25" customHeight="1" x14ac:dyDescent="0.2">
      <c r="A151" s="26" t="s">
        <v>459</v>
      </c>
      <c r="B151" s="41">
        <v>1137</v>
      </c>
      <c r="C151" s="42">
        <v>32</v>
      </c>
    </row>
    <row r="152" spans="1:3" ht="17.25" customHeight="1" x14ac:dyDescent="0.2">
      <c r="A152" s="26" t="s">
        <v>460</v>
      </c>
      <c r="B152" s="41">
        <v>1139</v>
      </c>
      <c r="C152" s="42">
        <v>31</v>
      </c>
    </row>
    <row r="153" spans="1:3" ht="17.25" customHeight="1" x14ac:dyDescent="0.2">
      <c r="A153" s="26" t="s">
        <v>461</v>
      </c>
      <c r="B153" s="41">
        <v>1141</v>
      </c>
      <c r="C153" s="42">
        <v>32</v>
      </c>
    </row>
    <row r="154" spans="1:3" ht="17.25" customHeight="1" x14ac:dyDescent="0.2">
      <c r="A154" s="26" t="s">
        <v>462</v>
      </c>
      <c r="B154" s="41">
        <v>1143</v>
      </c>
      <c r="C154" s="42">
        <v>32</v>
      </c>
    </row>
    <row r="155" spans="1:3" ht="17.25" customHeight="1" x14ac:dyDescent="0.2">
      <c r="A155" s="26" t="s">
        <v>463</v>
      </c>
      <c r="B155" s="41">
        <v>1145</v>
      </c>
      <c r="C155" s="42">
        <v>32</v>
      </c>
    </row>
    <row r="156" spans="1:3" ht="17.25" customHeight="1" x14ac:dyDescent="0.2">
      <c r="A156" s="26" t="s">
        <v>464</v>
      </c>
      <c r="B156" s="41">
        <v>1147</v>
      </c>
      <c r="C156" s="42">
        <v>32</v>
      </c>
    </row>
    <row r="157" spans="1:3" ht="17.25" customHeight="1" x14ac:dyDescent="0.2">
      <c r="A157" s="26" t="s">
        <v>465</v>
      </c>
      <c r="B157" s="41">
        <v>1149</v>
      </c>
      <c r="C157" s="42">
        <v>32</v>
      </c>
    </row>
    <row r="158" spans="1:3" ht="17.25" customHeight="1" x14ac:dyDescent="0.2">
      <c r="A158" s="26" t="s">
        <v>466</v>
      </c>
      <c r="B158" s="41">
        <v>1151</v>
      </c>
      <c r="C158" s="42">
        <v>32</v>
      </c>
    </row>
    <row r="159" spans="1:3" ht="17.25" customHeight="1" x14ac:dyDescent="0.2">
      <c r="A159" s="26" t="s">
        <v>467</v>
      </c>
      <c r="B159" s="41">
        <v>1153</v>
      </c>
      <c r="C159" s="42">
        <v>12</v>
      </c>
    </row>
    <row r="160" spans="1:3" ht="17.25" customHeight="1" x14ac:dyDescent="0.2">
      <c r="A160" s="26" t="s">
        <v>468</v>
      </c>
      <c r="B160" s="41">
        <v>1155</v>
      </c>
      <c r="C160" s="42">
        <v>32</v>
      </c>
    </row>
    <row r="161" spans="1:3" ht="17.25" customHeight="1" x14ac:dyDescent="0.2">
      <c r="A161" s="26" t="s">
        <v>469</v>
      </c>
      <c r="B161" s="41">
        <v>1157</v>
      </c>
      <c r="C161" s="42">
        <v>31</v>
      </c>
    </row>
  </sheetData>
  <sheetProtection algorithmName="SHA-512" hashValue="v4HoQqjMfoeb6UhePGt/7y3pHxtWhA5RAzQxNm1wJQY3bVrhfkC9iGAXCNgaqDcMGt/7vzvkinl46gkVF63RLg==" saltValue="OnTeZWYvE/GJD5X+ZrbUtQ==" spinCount="100000" sheet="1" objects="1" scenarios="1"/>
  <mergeCells count="5">
    <mergeCell ref="A5:A7"/>
    <mergeCell ref="B5:B7"/>
    <mergeCell ref="A8:A15"/>
    <mergeCell ref="A16:A21"/>
    <mergeCell ref="A22:A7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Titelblatt</vt:lpstr>
      <vt:lpstr>Verkehrsrelevanz</vt:lpstr>
      <vt:lpstr>Grundlagen Verkehr</vt:lpstr>
      <vt:lpstr>Kennwerte Siedlungsdaten</vt:lpstr>
      <vt:lpstr>'Grundlagen Verkehr'!Druckbereich</vt:lpstr>
      <vt:lpstr>Verkehrsrelevanz!Druckbereich</vt:lpstr>
    </vt:vector>
  </TitlesOfParts>
  <Company>Ecoplan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Selbstdeklaration Verkehrsverträglichkeit</dc:title>
  <dc:creator>Matthias Amacher</dc:creator>
  <cp:lastModifiedBy>Zimmermann Leandra</cp:lastModifiedBy>
  <cp:lastPrinted>2024-04-29T08:49:05Z</cp:lastPrinted>
  <dcterms:created xsi:type="dcterms:W3CDTF">2012-01-30T16:31:09Z</dcterms:created>
  <dcterms:modified xsi:type="dcterms:W3CDTF">2024-06-26T06:12:32Z</dcterms:modified>
</cp:coreProperties>
</file>